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kendafoe/Downloads/"/>
    </mc:Choice>
  </mc:AlternateContent>
  <xr:revisionPtr revIDLastSave="0" documentId="13_ncr:1_{7543A9F5-1199-114B-B2BE-D7BC84753BB6}" xr6:coauthVersionLast="47" xr6:coauthVersionMax="47" xr10:uidLastSave="{00000000-0000-0000-0000-000000000000}"/>
  <bookViews>
    <workbookView xWindow="16520" yWindow="4120" windowWidth="28280" windowHeight="20000" xr2:uid="{00000000-000D-0000-FFFF-FFFF00000000}" activeTab="5"/>
  </bookViews>
  <sheets>
    <sheet name="Employee Data" sheetId="1" r:id="rId1"/>
    <sheet name="U.S. Numbers" sheetId="5" r:id="rId2"/>
    <sheet name="Operating Profit" sheetId="4" r:id="rId3"/>
    <sheet name="Job Codes" sheetId="2" r:id="rId4"/>
    <sheet name="Lookup Tables" sheetId="3" r:id="rId5"/>
    <sheet name="Sheet1" sheetId="6" r:id="rId9"/>
  </sheets>
  <definedNames>
    <definedName name="_xlnm._FilterDatabase" localSheetId="0" hidden="true">'Employee Data'!$A$1:$P$101</definedName>
    <definedName name="_xlnm._FilterDatabase" localSheetId="3" hidden="true">'Job Codes'!$F$18:$F$31</definedName>
  </definedNames>
  <calcPr calcId="191029"/>
  <webPublishing codePage="1252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<sst xmlns="http://schemas.openxmlformats.org/spreadsheetml/2006/main">
  <si>
    <t>ID</t>
  </si>
  <si>
    <t>Last Name</t>
  </si>
  <si>
    <t>Sex</t>
  </si>
  <si>
    <t>Location</t>
  </si>
  <si>
    <t>M</t>
  </si>
  <si>
    <t>FT</t>
  </si>
  <si>
    <t>S</t>
  </si>
  <si>
    <t>F</t>
  </si>
  <si>
    <t>PT</t>
  </si>
  <si>
    <t>H</t>
  </si>
  <si>
    <t>Young</t>
  </si>
  <si>
    <t>White</t>
  </si>
  <si>
    <t>Anderson</t>
  </si>
  <si>
    <t>CN</t>
  </si>
  <si>
    <t>Williams</t>
  </si>
  <si>
    <t>Scott</t>
  </si>
  <si>
    <t>Flores</t>
  </si>
  <si>
    <t>Johnson</t>
  </si>
  <si>
    <t>Fisher</t>
  </si>
  <si>
    <t>Howard</t>
  </si>
  <si>
    <t>Hire Date</t>
  </si>
  <si>
    <t>Birth Date</t>
  </si>
  <si>
    <t>Job Status</t>
  </si>
  <si>
    <t>Pay Type</t>
  </si>
  <si>
    <t>Years Service</t>
  </si>
  <si>
    <t>Toronto</t>
  </si>
  <si>
    <t>Vancouver</t>
  </si>
  <si>
    <t>Montreal</t>
  </si>
  <si>
    <t>Smith</t>
  </si>
  <si>
    <t>Brown</t>
  </si>
  <si>
    <t>Jones</t>
  </si>
  <si>
    <t>Miller</t>
  </si>
  <si>
    <t>Davis</t>
  </si>
  <si>
    <t>Garcia</t>
  </si>
  <si>
    <t>Rodriguez</t>
  </si>
  <si>
    <t>Wilson</t>
  </si>
  <si>
    <t>Martinez</t>
  </si>
  <si>
    <t>Taylor</t>
  </si>
  <si>
    <t>Thomas</t>
  </si>
  <si>
    <t>Hernandez</t>
  </si>
  <si>
    <t>Moore</t>
  </si>
  <si>
    <t>Martin</t>
  </si>
  <si>
    <t>Jackson</t>
  </si>
  <si>
    <t>Thompson</t>
  </si>
  <si>
    <t>Lopez</t>
  </si>
  <si>
    <t>Lee</t>
  </si>
  <si>
    <t>Gonzalez</t>
  </si>
  <si>
    <t>Harris</t>
  </si>
  <si>
    <t>Clark</t>
  </si>
  <si>
    <t>Lewis</t>
  </si>
  <si>
    <t>Robinson</t>
  </si>
  <si>
    <t>Walker</t>
  </si>
  <si>
    <t>Perez</t>
  </si>
  <si>
    <t>Hall</t>
  </si>
  <si>
    <t>Allen</t>
  </si>
  <si>
    <t>Sanchez</t>
  </si>
  <si>
    <t>Wright</t>
  </si>
  <si>
    <t>King</t>
  </si>
  <si>
    <t>Green</t>
  </si>
  <si>
    <t>Baker</t>
  </si>
  <si>
    <t>Adams</t>
  </si>
  <si>
    <t>Nelson</t>
  </si>
  <si>
    <t>Hill</t>
  </si>
  <si>
    <t>Ramirez</t>
  </si>
  <si>
    <t>Campbell</t>
  </si>
  <si>
    <t>Mitchell</t>
  </si>
  <si>
    <t>Roberts</t>
  </si>
  <si>
    <t>Carter</t>
  </si>
  <si>
    <t>Phillips</t>
  </si>
  <si>
    <t>Evans</t>
  </si>
  <si>
    <t>Turner</t>
  </si>
  <si>
    <t>Torres</t>
  </si>
  <si>
    <t>Parker</t>
  </si>
  <si>
    <t>Collins</t>
  </si>
  <si>
    <t>Edwards</t>
  </si>
  <si>
    <t>Stewart</t>
  </si>
  <si>
    <t>Morris</t>
  </si>
  <si>
    <t>Nguyen</t>
  </si>
  <si>
    <t>Murphy</t>
  </si>
  <si>
    <t>Rivera</t>
  </si>
  <si>
    <t>Cook</t>
  </si>
  <si>
    <t>Rogers</t>
  </si>
  <si>
    <t>Morgan</t>
  </si>
  <si>
    <t>Peterson</t>
  </si>
  <si>
    <t>Cooper</t>
  </si>
  <si>
    <t>Reed</t>
  </si>
  <si>
    <t>Bailey</t>
  </si>
  <si>
    <t>Bell</t>
  </si>
  <si>
    <t>Gomez</t>
  </si>
  <si>
    <t>Kelly</t>
  </si>
  <si>
    <t>Ward</t>
  </si>
  <si>
    <t>Cox</t>
  </si>
  <si>
    <t>Diaz</t>
  </si>
  <si>
    <t>Richardson</t>
  </si>
  <si>
    <t>Wood</t>
  </si>
  <si>
    <t>Watson</t>
  </si>
  <si>
    <t>Brooks</t>
  </si>
  <si>
    <t>Bennett</t>
  </si>
  <si>
    <t>Gray</t>
  </si>
  <si>
    <t>James</t>
  </si>
  <si>
    <t>Reyes</t>
  </si>
  <si>
    <t>Cruz</t>
  </si>
  <si>
    <t>Hughes</t>
  </si>
  <si>
    <t>Price</t>
  </si>
  <si>
    <t>Myers</t>
  </si>
  <si>
    <t>Long</t>
  </si>
  <si>
    <t>Foster</t>
  </si>
  <si>
    <t>Sanders</t>
  </si>
  <si>
    <t>Ross</t>
  </si>
  <si>
    <t>Morales</t>
  </si>
  <si>
    <t>Powell</t>
  </si>
  <si>
    <t>Sullivan</t>
  </si>
  <si>
    <t>Russell</t>
  </si>
  <si>
    <t>Ortiz</t>
  </si>
  <si>
    <t>Jenkins</t>
  </si>
  <si>
    <t>Gutierrez</t>
  </si>
  <si>
    <t>Perry</t>
  </si>
  <si>
    <t>Butler</t>
  </si>
  <si>
    <t>Barnes</t>
  </si>
  <si>
    <t>Positions</t>
  </si>
  <si>
    <t>Lead Hand</t>
  </si>
  <si>
    <t>Job Code</t>
  </si>
  <si>
    <t>Assembler</t>
  </si>
  <si>
    <t>Shipper</t>
  </si>
  <si>
    <t>Inspector</t>
  </si>
  <si>
    <t>Quality Inspector</t>
  </si>
  <si>
    <t>Packer</t>
  </si>
  <si>
    <t>Painter</t>
  </si>
  <si>
    <t>Receiver</t>
  </si>
  <si>
    <t>Supervisor</t>
  </si>
  <si>
    <t>Accts Payable</t>
  </si>
  <si>
    <t>Accts Receivable</t>
  </si>
  <si>
    <t>Cost Accountant</t>
  </si>
  <si>
    <t>Payroll</t>
  </si>
  <si>
    <t>Controller</t>
  </si>
  <si>
    <t>CFO</t>
  </si>
  <si>
    <t>COO</t>
  </si>
  <si>
    <t>IT Support</t>
  </si>
  <si>
    <t>Developer</t>
  </si>
  <si>
    <t>Analyst</t>
  </si>
  <si>
    <t>IT Manager</t>
  </si>
  <si>
    <t>CIO</t>
  </si>
  <si>
    <t>Sales Rep</t>
  </si>
  <si>
    <t>Sales Manager</t>
  </si>
  <si>
    <t>Marketing Manager</t>
  </si>
  <si>
    <t>Purchasing Agent</t>
  </si>
  <si>
    <t>Purchasing Manager</t>
  </si>
  <si>
    <t>General Manager</t>
  </si>
  <si>
    <t>HR Clerk</t>
  </si>
  <si>
    <t>HR Analyst</t>
  </si>
  <si>
    <t>HR Manager</t>
  </si>
  <si>
    <t>Web Developer</t>
  </si>
  <si>
    <t>Calgary</t>
  </si>
  <si>
    <t>BA</t>
  </si>
  <si>
    <t>MS</t>
  </si>
  <si>
    <t>DIP</t>
  </si>
  <si>
    <t>HighS</t>
  </si>
  <si>
    <t>POST-SEC</t>
  </si>
  <si>
    <t>PhD</t>
  </si>
  <si>
    <t>Industry Experience</t>
  </si>
  <si>
    <t>Hiring Decision</t>
  </si>
  <si>
    <t>Education 
Level</t>
  </si>
  <si>
    <t>Department</t>
  </si>
  <si>
    <t>Operations</t>
  </si>
  <si>
    <t>Admin</t>
  </si>
  <si>
    <t>Finance</t>
  </si>
  <si>
    <t>ICT</t>
  </si>
  <si>
    <t>Sales</t>
  </si>
  <si>
    <t>Marketing</t>
  </si>
  <si>
    <t>Purchasing</t>
  </si>
  <si>
    <t>HR</t>
  </si>
  <si>
    <t>Bonus Percentage</t>
  </si>
  <si>
    <t>Plan</t>
  </si>
  <si>
    <t>Monthly Premium</t>
  </si>
  <si>
    <t>HMOF</t>
  </si>
  <si>
    <t>HMOI</t>
  </si>
  <si>
    <t>PPOF</t>
  </si>
  <si>
    <t>PPOI</t>
  </si>
  <si>
    <t>None</t>
  </si>
  <si>
    <t>Benefits Plan</t>
  </si>
  <si>
    <t>Winnipeg</t>
  </si>
  <si>
    <t>Cost of Goods Sold
&amp; Operating
Expenses</t>
  </si>
  <si>
    <t>Revenue</t>
  </si>
  <si>
    <t>COGS &amp; OE</t>
  </si>
  <si>
    <t>PT Employees</t>
  </si>
  <si>
    <t>Contract Employees</t>
  </si>
  <si>
    <t>FT Employees (count &amp; Salaries)</t>
  </si>
  <si>
    <t>Morrison</t>
  </si>
  <si>
    <t>Bains</t>
  </si>
  <si>
    <t>Jets</t>
  </si>
  <si>
    <t>Queen</t>
  </si>
  <si>
    <t>Milsap</t>
  </si>
  <si>
    <t>Benefits</t>
  </si>
  <si>
    <t>Bonus &amp; incentives</t>
  </si>
  <si>
    <t>* these have already been converted to CDN$ for comparison</t>
  </si>
  <si>
    <t>Number sick days in 2020</t>
  </si>
  <si>
    <t>Heathplan rate</t>
  </si>
  <si>
    <t>Annual Salary 
2020</t>
  </si>
  <si>
    <t>2020 Revenue</t>
  </si>
  <si>
    <t>FF</t>
  </si>
  <si>
    <t>Non</t>
  </si>
  <si>
    <t>POSITION</t>
  </si>
  <si>
    <t>BONUS</t>
  </si>
  <si>
    <t>BENEFITS</t>
  </si>
  <si>
    <t>EMPLOYEE COST</t>
  </si>
  <si>
    <t>EMPLOYEE</t>
  </si>
  <si>
    <t xml:space="preserve">EMPLOYEE </t>
  </si>
  <si>
    <t>SUM(S2:S108)</t>
  </si>
  <si>
    <t>TOAL</t>
  </si>
  <si>
    <t>TOTAL</t>
  </si>
  <si>
    <t>OPERATING PROFIT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</si>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</sst>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.00_);_([$$-409]* \(#,##0.00\);_([$$-409]* &quot;-&quot;??_);_(@_)"/>
    <numFmt numFmtId="166" formatCode="_([$$-409]* #,##0.0_);_([$$-409]* \(#,##0.0\);_([$$-409]* &quot;-&quot;?_);_(@_)"/>
    <numFmt numFmtId="167" formatCode="_([$$-409]* #,##0.000_);_([$$-409]* \(#,##0.000\);_([$$-409]* &quot;-&quot;???_);_(@_)"/>
    <numFmt numFmtId="168" formatCode="_([$$-409]* #,##0.0000_);_([$$-409]* \(#,##0.0000\);_([$$-409]* &quot;-&quot;????_);_(@_)"/>
    <numFmt numFmtId="169" formatCode="_([$$-409]* #,##0.00000_);_([$$-409]* \(#,##0.00000\);_([$$-409]* &quot;-&quot;?????_);_(@_)"/>
    <numFmt numFmtId="170" formatCode="_([$$-409]* #,##0_);_([$$-409]* \(#,##0\);_([$$-409]* &quot;-&quot;_);_(@_)"/>
    <numFmt numFmtId="171" formatCode="[$$-409]#,##0.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Down="false" diagonalUp="false">
      <left style="none"/>
      <right style="none"/>
      <top style="none"/>
      <bottom style="none"/>
      <diagonal style="none"/>
    </border>
  </borders>
  <cellStyleXfs count="16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1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Font="1"/>
    <xf numFmtId="14" fontId="0" fillId="0" borderId="0" xfId="0" applyNumberFormat="1" applyFont="1"/>
    <xf numFmtId="164" fontId="0" fillId="0" borderId="0" xfId="1" applyNumberFormat="1" applyFont="1"/>
    <xf numFmtId="44" fontId="0" fillId="0" borderId="0" xfId="1" applyFont="1"/>
    <xf numFmtId="14" fontId="0" fillId="0" borderId="0" xfId="0" applyNumberFormat="1"/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164" fontId="5" fillId="0" borderId="0" xfId="1" applyNumberFormat="1" applyFont="1"/>
    <xf numFmtId="0" fontId="6" fillId="0" borderId="0" xfId="0" applyFont="1"/>
    <xf numFmtId="44" fontId="6" fillId="0" borderId="0" xfId="1" applyFont="1"/>
    <xf numFmtId="0" fontId="7" fillId="2" borderId="1" xfId="14" applyFont="1"/>
    <xf numFmtId="0" fontId="7" fillId="2" borderId="1" xfId="14" applyFont="1" applyAlignment="1">
      <alignment wrapText="1"/>
    </xf>
    <xf numFmtId="164" fontId="6" fillId="0" borderId="0" xfId="1" applyNumberFormat="1" applyFont="1"/>
    <xf numFmtId="44" fontId="6" fillId="0" borderId="0" xfId="0" applyNumberFormat="1" applyFont="1"/>
    <xf numFmtId="0" fontId="5" fillId="3" borderId="0" xfId="15" applyFont="1" applyAlignment="1">
      <alignment horizontal="center"/>
    </xf>
    <xf numFmtId="0" applyNumberFormat="1" fontId="8" applyFont="1" fillId="0" applyFill="1" borderId="0" applyBorder="1" xfId="0"/>
    <xf numFmtId="165" applyNumberFormat="1" fontId="0" applyFont="1" fillId="0" applyFill="1" borderId="0" applyBorder="1" xfId="0"/>
    <xf numFmtId="166" applyNumberFormat="1" fontId="0" applyFont="1" fillId="0" applyFill="1" borderId="0" applyBorder="1" xfId="0"/>
    <xf numFmtId="167" applyNumberFormat="1" fontId="0" applyFont="1" fillId="0" applyFill="1" borderId="0" applyBorder="1" xfId="0"/>
    <xf numFmtId="168" applyNumberFormat="1" fontId="0" applyFont="1" fillId="0" applyFill="1" borderId="0" applyBorder="1" xfId="0"/>
    <xf numFmtId="169" applyNumberFormat="1" fontId="0" applyFont="1" fillId="0" applyFill="1" borderId="0" applyBorder="1" xfId="0"/>
    <xf numFmtId="170" applyNumberFormat="1" fontId="0" applyFont="1" fillId="0" applyFill="1" borderId="0" applyBorder="1" xfId="0"/>
    <xf numFmtId="165" applyNumberFormat="1" fontId="8" applyFont="1" fillId="0" applyFill="1" borderId="0" applyBorder="1" xfId="0"/>
    <xf numFmtId="0" applyNumberFormat="1" fontId="8" applyFont="1" fillId="0" applyFill="1" borderId="0" applyBorder="1" applyAlignment="1" xfId="0">
      <alignment vertical="center"/>
    </xf>
    <xf numFmtId="0" applyNumberFormat="1" fontId="8" applyFont="1" fillId="0" applyFill="1" borderId="0" applyBorder="1" applyAlignment="1" xfId="0">
      <alignment vertical="top"/>
    </xf>
    <xf numFmtId="0" applyNumberFormat="1" fontId="8" applyFont="1" fillId="0" applyFill="1" borderId="0" applyBorder="1" applyAlignment="1" xfId="0">
      <alignment vertical="top" horizontal="center"/>
    </xf>
    <xf numFmtId="0" applyNumberFormat="1" fontId="8" applyFont="1" fillId="0" applyFill="1" borderId="0" applyBorder="1" applyAlignment="1" xfId="0">
      <alignment horizontal="center"/>
    </xf>
    <xf numFmtId="0" applyNumberFormat="1" fontId="8" applyFont="1" fillId="0" applyFill="1" borderId="0" applyBorder="1" applyAlignment="1" xfId="0">
      <alignment vertical="center" horizontal="center"/>
    </xf>
    <xf numFmtId="0" applyNumberFormat="1" fontId="8" applyFont="1" fillId="0" applyFill="1" borderId="0" applyBorder="1" applyAlignment="1" xfId="0">
      <alignment wrapText="1" vertical="center" horizontal="center"/>
    </xf>
    <xf numFmtId="165" applyNumberFormat="1" fontId="8" applyFont="1" fillId="0" applyFill="1" borderId="0" applyBorder="1" applyAlignment="1" xfId="0">
      <alignment wrapText="1" vertical="center" horizontal="center"/>
    </xf>
    <xf numFmtId="166" applyNumberFormat="1" fontId="8" applyFont="1" fillId="0" applyFill="1" borderId="0" applyBorder="1" applyAlignment="1" xfId="0">
      <alignment wrapText="1" vertical="center" horizontal="center"/>
    </xf>
    <xf numFmtId="2" applyNumberFormat="1" fontId="0" applyFont="1" fillId="0" applyFill="1" borderId="0" applyBorder="1" xfId="0"/>
    <xf numFmtId="2" applyNumberFormat="1" fontId="8" applyFont="1" fillId="0" applyFill="1" borderId="0" applyBorder="1" applyAlignment="1" xfId="0">
      <alignment wrapText="1" vertical="center" horizontal="center"/>
    </xf>
    <xf numFmtId="171" applyNumberFormat="1" fontId="0" applyFont="1" fillId="0" applyFill="1" borderId="0" applyBorder="1" xfId="0"/>
    <xf numFmtId="171" applyNumberFormat="1" fontId="8" applyFont="1" fillId="0" applyFill="1" borderId="0" applyBorder="1" applyAlignment="1" xfId="0">
      <alignment wrapText="1" vertical="center" horizontal="center"/>
    </xf>
    <xf numFmtId="170" applyNumberFormat="1" fontId="9" applyFont="1" fillId="0" applyFill="1" borderId="0" applyBorder="1" applyAlignment="1" xfId="0">
      <alignment wrapText="1" vertical="center" horizontal="center"/>
    </xf>
    <xf numFmtId="165" applyNumberFormat="1" fontId="0" applyFont="1" fillId="0" applyFill="1" borderId="0" applyBorder="1" applyAlignment="1" applyProtection="1" xfId="0">
      <alignment/>
      <protection/>
    </xf>
    <xf numFmtId="0" applyNumberFormat="1" fontId="10" applyFont="1" fillId="0" applyFill="1" borderId="2" applyBorder="1" applyAlignment="1" xfId="0">
      <alignment vertical="bottom"/>
    </xf>
    <xf numFmtId="165" applyNumberFormat="1" fontId="11" applyFont="1" fillId="0" applyFill="1" borderId="2" applyBorder="1" applyAlignment="1" xfId="0">
      <alignment vertical="bottom"/>
    </xf>
    <xf numFmtId="0" applyNumberFormat="1" fontId="10" applyFont="1" fillId="0" applyFill="1" borderId="2" applyBorder="1" applyAlignment="1" xfId="0">
      <alignment vertical="center"/>
    </xf>
    <xf numFmtId="0" applyNumberFormat="1" fontId="10" applyFont="1" fillId="0" applyFill="1" borderId="2" applyBorder="1" applyAlignment="1" xfId="0">
      <alignment vertical="center" horizontal="center"/>
    </xf>
    <xf numFmtId="0" applyNumberFormat="1" fontId="10" applyFont="1" fillId="0" applyFill="1" borderId="2" applyBorder="1" applyAlignment="1" xfId="0">
      <alignment vertical="top" horizontal="center"/>
    </xf>
    <xf numFmtId="0" applyNumberFormat="1" fontId="10" applyFont="1" fillId="0" applyFill="1" borderId="2" applyBorder="1" applyAlignment="1" xfId="0">
      <alignment vertical="top" horizontal="left"/>
    </xf>
    <xf numFmtId="0" applyNumberFormat="1" fontId="10" applyFont="1" fillId="0" applyFill="1" borderId="2" applyBorder="1" applyAlignment="1" xfId="0">
      <alignment wrapText="1" vertical="top" horizontal="left"/>
    </xf>
    <xf numFmtId="0" applyNumberFormat="1" fontId="10" applyFont="1" fillId="0" applyFill="1" borderId="2" applyBorder="1" applyAlignment="1" xfId="0">
      <alignment wrapText="1" vertical="center" horizontal="left"/>
    </xf>
    <xf numFmtId="0" applyNumberFormat="1" fontId="10" applyFont="1" fillId="0" applyFill="1" borderId="2" applyBorder="1" applyAlignment="1" xfId="0">
      <alignment wrapText="1" horizontal="left"/>
    </xf>
    <xf numFmtId="0" applyNumberFormat="1" fontId="10" applyFont="1" fillId="0" applyFill="1" borderId="2" applyBorder="1" applyAlignment="1" xfId="0">
      <alignment wrapText="1" vertical="bottom"/>
    </xf>
    <xf numFmtId="0" applyNumberFormat="1" fontId="10" applyFont="1" fillId="0" applyFill="1" borderId="2" applyBorder="1" applyAlignment="1" xfId="0">
      <alignment wrapText="1" vertical="center"/>
    </xf>
    <xf numFmtId="0" applyNumberFormat="1" fontId="10" applyFont="1" fillId="0" applyFill="1" borderId="2" applyBorder="1" applyAlignment="1" xfId="0">
      <alignment wrapText="1" vertical="center" horizontal="center"/>
    </xf>
  </cellXfs>
  <cellStyles count="16">
    <cellStyle name="60% - Accent6" xfId="15" builtinId="52"/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  <cellStyle name="Note" xfId="14" builtinId="10"/>
  </cellStyles>
  <dxfs count="4">
    <dxf>
      <font>
        <strike val="0"/>
        <outline val="0"/>
        <shadow val="0"/>
        <u val="none"/>
        <vertAlign val="baseline"/>
        <sz val="18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strike val="0"/>
        <outline val="0"/>
        <shadow val="0"/>
        <u val="none"/>
        <vertAlign val="baseline"/>
        <sz val="18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worksheet" Target="worksheets/sheet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JobCode" displayName="JobCode" ref="C5:F36" totalsRowShown="0">
  <tableColumns count="4">
    <tableColumn id="1" xr3:uid="{00000000-0010-0000-0000-000001000000}" name="Job Code"/>
    <tableColumn id="2" xr3:uid="{00000000-0010-0000-0000-000002000000}" name="Positions"/>
    <tableColumn id="3" xr3:uid="{00000000-0010-0000-0000-000003000000}" name="Department"/>
    <tableColumn id="4" xr3:uid="{00000000-0010-0000-0000-000004000000}" name="Bonus Percentage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HealthPlanRates" displayName="HealthPlanRates" ref="B4:C9" totalsRowShown="0" headerRowDxfId="3" dataDxfId="2">
  <tableColumns count="2">
    <tableColumn id="1" xr3:uid="{00000000-0010-0000-0100-000001000000}" name="Plan" dataDxfId="1"/>
    <tableColumn id="2" xr3:uid="{00000000-0010-0000-0100-000002000000}" name="Monthly Premium" dataDxfId="0" dataCellStyle="Currenc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8"/>
  <sheetViews>
    <sheetView zoomScalePageLayoutView="120" workbookViewId="0" zoomScale="90" zoomScaleNormal="90" topLeftCell="P91">
      <selection activeCell="R109" sqref="R109" activeCellId="0"/>
    </sheetView>
  </sheetViews>
  <sheetFormatPr baseColWidth="10" defaultColWidth="8.83203" defaultRowHeight="15" x14ac:dyDescent="0.2" outlineLevelRow="0" outlineLevelCol="0"/>
  <cols>
    <col min="1" max="1" width="5.5" style="1" bestFit="1" customWidth="1"/>
    <col min="2" max="2" width="12.33203125" style="1" bestFit="1" customWidth="1"/>
    <col min="3" max="3" width="9.33203125" style="1" customWidth="1"/>
    <col min="4" max="4" width="11.33203125" style="2" bestFit="1" customWidth="1"/>
    <col min="5" max="5" width="11.5" style="2" customWidth="1"/>
    <col min="6" max="6" width="5.6640625" style="1" customWidth="1"/>
    <col min="7" max="7" width="13.5" style="1" customWidth="1"/>
    <col min="8" max="8" width="11.83203125" customWidth="1"/>
    <col min="9" max="9" width="10.83203125" style="1" customWidth="1"/>
    <col min="10" max="10" width="11" style="1" customWidth="1"/>
    <col min="11" max="11" width="13.6640625" style="4" customWidth="1"/>
    <col min="12" max="12" width="12.83203125" customWidth="1"/>
    <col min="13" max="13" width="9.83203125" style="1" customWidth="1"/>
    <col min="14" max="14" width="11.1640625" style="1" customWidth="1"/>
    <col min="15" max="16" width="8.83203125" style="1"/>
    <col min="17" max="17" width="17.7109" style="1" customWidth="1"/>
    <col min="18" max="18" width="8.83203125" style="1"/>
    <col min="18" max="18" width="17.5703" style="1" customWidth="1"/>
    <col min="19" max="19" width="17.5703" style="1" customWidth="1"/>
    <col min="20" max="20" width="14.1406" style="18" customWidth="1"/>
    <col min="21" max="24" width="8.83203125" style="1"/>
    <col min="25" max="25" width="17.33203125" style="1" bestFit="1" customWidth="1"/>
    <col min="26" max="26" width="10.33203125" style="1" bestFit="1" customWidth="1"/>
    <col min="27" max="16384" width="8.83203125" style="1"/>
  </cols>
  <sheetData>
    <row r="1" customHeight="1" ht="48">
      <c r="A1" s="1" t="s">
        <v>0</v>
      </c>
      <c r="B1" s="1" t="s">
        <v>1</v>
      </c>
      <c r="C1" s="1" t="s">
        <v>121</v>
      </c>
      <c r="D1" s="5" t="s">
        <v>20</v>
      </c>
      <c r="E1" s="5" t="s">
        <v>21</v>
      </c>
      <c r="F1" s="1" t="s">
        <v>2</v>
      </c>
      <c r="G1" s="1" t="s">
        <v>3</v>
      </c>
      <c r="H1" s="1" t="s">
        <v>179</v>
      </c>
      <c r="I1" s="1" t="s">
        <v>22</v>
      </c>
      <c r="J1" s="1" t="s">
        <v>23</v>
      </c>
      <c r="K1" s="4" t="s">
        <v>24</v>
      </c>
      <c r="L1" s="6" t="s">
        <v>197</v>
      </c>
      <c r="M1" s="6" t="s">
        <v>161</v>
      </c>
      <c r="N1" s="6" t="s">
        <v>159</v>
      </c>
      <c r="O1" s="6" t="s">
        <v>160</v>
      </c>
      <c r="P1" s="6" t="s">
        <v>195</v>
      </c>
      <c r="Q1" s="17" t="s">
        <v>201</v>
      </c>
      <c r="R1" s="17" t="s">
        <v>202</v>
      </c>
      <c r="S1" s="17" t="s">
        <v>203</v>
      </c>
      <c r="T1" s="31" t="s">
        <v>204</v>
      </c>
    </row>
    <row r="2">
      <c r="A2" s="1">
        <v>1</v>
      </c>
      <c r="B2" s="1" t="s">
        <v>77</v>
      </c>
      <c r="C2" s="1">
        <v>3003</v>
      </c>
      <c r="D2" s="5">
        <v>39821</v>
      </c>
      <c r="E2" s="5">
        <v>22728</v>
      </c>
      <c r="F2" s="1" t="s">
        <v>4</v>
      </c>
      <c r="G2" s="1" t="s">
        <v>25</v>
      </c>
      <c r="H2" s="1" t="s">
        <v>174</v>
      </c>
      <c r="I2" s="1" t="s">
        <v>5</v>
      </c>
      <c r="J2" s="1" t="s">
        <v>6</v>
      </c>
      <c r="K2" s="4">
        <v>6</v>
      </c>
      <c r="L2" s="1">
        <v>53257.549517901265</v>
      </c>
      <c r="M2" s="1" t="s">
        <v>153</v>
      </c>
      <c r="N2" s="1">
        <v>9</v>
      </c>
      <c r="O2" s="1">
        <v>3</v>
      </c>
      <c r="P2" s="1">
        <v>3</v>
      </c>
      <c r="Q2" s="0" t="str">
        <f>VLOOKUP(C2,JobCode[[Job code]:[Positions]],2,FALSE)</f>
        <v>Analyst</v>
      </c>
      <c r="R2" s="18">
        <f>IF(VLOOKUP(C2,JobCode[],4,FALSE)=0,0,(VLOOKUP(C2,JobCode[],4,FALSE)/100*L2))</f>
        <v>0</v>
      </c>
      <c r="S2" s="23">
        <f>VLOOKUP(H2,HealthPlanRates[],2,FALSE)*12</f>
        <v>25800</v>
      </c>
      <c r="T2" s="18">
        <f>L2+S2</f>
        <v>79057.54951790127</v>
      </c>
      <c r="U2" s="3"/>
      <c r="AA2" s="2"/>
    </row>
    <row r="3">
      <c r="A3" s="1">
        <v>2</v>
      </c>
      <c r="B3" s="1" t="s">
        <v>53</v>
      </c>
      <c r="C3" s="1">
        <v>7020</v>
      </c>
      <c r="D3" s="5">
        <v>39619</v>
      </c>
      <c r="E3" s="5">
        <v>26753</v>
      </c>
      <c r="F3" s="1" t="s">
        <v>7</v>
      </c>
      <c r="G3" s="1" t="s">
        <v>26</v>
      </c>
      <c r="H3" s="1" t="s">
        <v>174</v>
      </c>
      <c r="I3" s="1" t="s">
        <v>5</v>
      </c>
      <c r="J3" s="1" t="s">
        <v>6</v>
      </c>
      <c r="K3" s="4">
        <v>7</v>
      </c>
      <c r="L3" s="1">
        <v>82823.92078496734</v>
      </c>
      <c r="M3" s="1" t="s">
        <v>153</v>
      </c>
      <c r="N3" s="1">
        <v>8</v>
      </c>
      <c r="O3" s="1">
        <v>2</v>
      </c>
      <c r="P3" s="1">
        <v>5</v>
      </c>
      <c r="Q3" s="0" t="str">
        <f>VLOOKUP(C3,JobCode[[Job code]:[Positions]],2,FALSE)</f>
        <v>HR Manager</v>
      </c>
      <c r="R3" s="18">
        <f>IF(VLOOKUP(C3,JobCode[],4,FALSE)=0,0,(VLOOKUP(C3,JobCode[],4,FALSE)/100*L3))</f>
        <v>4141.196039248367</v>
      </c>
      <c r="S3" s="23">
        <f>VLOOKUP(H3,HealthPlanRates[],2,FALSE)*12</f>
        <v>25800</v>
      </c>
      <c r="T3" s="18">
        <f>L3+S3</f>
        <v>108623.92078496734</v>
      </c>
      <c r="U3" s="3"/>
    </row>
    <row r="4">
      <c r="A4" s="1">
        <v>3</v>
      </c>
      <c r="B4" s="1" t="s">
        <v>85</v>
      </c>
      <c r="C4" s="1">
        <v>4001</v>
      </c>
      <c r="D4" s="5">
        <v>40511</v>
      </c>
      <c r="E4" s="5">
        <v>28429</v>
      </c>
      <c r="F4" s="1" t="s">
        <v>4</v>
      </c>
      <c r="G4" s="1" t="s">
        <v>152</v>
      </c>
      <c r="H4" s="1" t="s">
        <v>174</v>
      </c>
      <c r="I4" s="1" t="s">
        <v>5</v>
      </c>
      <c r="J4" s="1" t="s">
        <v>6</v>
      </c>
      <c r="K4" s="4">
        <v>5</v>
      </c>
      <c r="L4" s="1">
        <v>86001.37152642026</v>
      </c>
      <c r="M4" s="1" t="s">
        <v>155</v>
      </c>
      <c r="N4" s="1">
        <v>6</v>
      </c>
      <c r="O4" s="1">
        <v>2</v>
      </c>
      <c r="P4" s="1">
        <v>2</v>
      </c>
      <c r="Q4" s="0" t="str">
        <f>VLOOKUP(C4,JobCode[[Job code]:[Positions]],2,FALSE)</f>
        <v>Sales Rep</v>
      </c>
      <c r="R4" s="18">
        <f>IF(VLOOKUP(C4,JobCode[],4,FALSE)=0,0,(VLOOKUP(C4,JobCode[],4,FALSE)/100*L4))</f>
        <v>0</v>
      </c>
      <c r="S4" s="23">
        <f>VLOOKUP(H4,HealthPlanRates[],2,FALSE)*12</f>
        <v>25800</v>
      </c>
      <c r="T4" s="18">
        <f>L4+S4</f>
        <v>111801.37152642026</v>
      </c>
      <c r="U4" s="3"/>
    </row>
    <row r="5">
      <c r="A5" s="1">
        <v>4</v>
      </c>
      <c r="B5" s="1" t="s">
        <v>16</v>
      </c>
      <c r="C5" s="1">
        <v>2004</v>
      </c>
      <c r="D5" s="5">
        <v>40286</v>
      </c>
      <c r="E5" s="5">
        <v>26679</v>
      </c>
      <c r="F5" s="1" t="s">
        <v>7</v>
      </c>
      <c r="G5" s="1" t="s">
        <v>25</v>
      </c>
      <c r="H5" s="1" t="s">
        <v>178</v>
      </c>
      <c r="I5" s="1" t="s">
        <v>5</v>
      </c>
      <c r="J5" s="1" t="s">
        <v>6</v>
      </c>
      <c r="K5" s="4">
        <v>5</v>
      </c>
      <c r="L5" s="1">
        <v>69914.88986664134</v>
      </c>
      <c r="M5" s="1" t="s">
        <v>153</v>
      </c>
      <c r="N5" s="1">
        <v>8</v>
      </c>
      <c r="O5" s="1">
        <v>3</v>
      </c>
      <c r="P5" s="1">
        <v>3</v>
      </c>
      <c r="Q5" s="0" t="str">
        <f>VLOOKUP(C5,JobCode[[Job code]:[Positions]],2,FALSE)</f>
        <v>Payroll</v>
      </c>
      <c r="R5" s="18">
        <f>IF(VLOOKUP(C5,JobCode[],4,FALSE)=0,0,(VLOOKUP(C5,JobCode[],4,FALSE)/100*L5))</f>
        <v>0</v>
      </c>
      <c r="S5" s="23">
        <f>VLOOKUP(H5,HealthPlanRates[],2,FALSE)*12</f>
        <v>0</v>
      </c>
      <c r="T5" s="18">
        <f>L5+S5</f>
        <v>69914.88986664134</v>
      </c>
    </row>
    <row r="6">
      <c r="A6" s="1">
        <v>5</v>
      </c>
      <c r="B6" s="1" t="s">
        <v>96</v>
      </c>
      <c r="C6" s="1">
        <v>2013</v>
      </c>
      <c r="D6" s="5">
        <v>40816</v>
      </c>
      <c r="E6" s="5">
        <v>32530</v>
      </c>
      <c r="F6" s="1" t="s">
        <v>4</v>
      </c>
      <c r="G6" s="1" t="s">
        <v>25</v>
      </c>
      <c r="H6" s="1" t="s">
        <v>178</v>
      </c>
      <c r="I6" s="1" t="s">
        <v>5</v>
      </c>
      <c r="J6" s="1" t="s">
        <v>6</v>
      </c>
      <c r="K6" s="4">
        <v>4</v>
      </c>
      <c r="L6" s="1">
        <v>137264.7223287398</v>
      </c>
      <c r="M6" s="1" t="s">
        <v>158</v>
      </c>
      <c r="N6" s="1">
        <v>7</v>
      </c>
      <c r="O6" s="1">
        <v>2</v>
      </c>
      <c r="P6" s="1">
        <v>1</v>
      </c>
      <c r="Q6" s="0" t="str">
        <f>VLOOKUP(C6,JobCode[[Job code]:[Positions]],2,FALSE)</f>
        <v>Controller</v>
      </c>
      <c r="R6" s="18">
        <f>IF(VLOOKUP(C6,JobCode[],4,FALSE)=0,0,(VLOOKUP(C6,JobCode[],4,FALSE)/100*L6))</f>
        <v>6863.23611643699</v>
      </c>
      <c r="S6" s="23">
        <f>VLOOKUP(H6,HealthPlanRates[],2,FALSE)*12</f>
        <v>0</v>
      </c>
      <c r="T6" s="18">
        <f>L6+S6</f>
        <v>137264.7223287398</v>
      </c>
    </row>
    <row r="7">
      <c r="A7" s="1">
        <v>6</v>
      </c>
      <c r="B7" s="1" t="s">
        <v>82</v>
      </c>
      <c r="C7" s="1">
        <v>3003</v>
      </c>
      <c r="D7" s="5">
        <v>43294</v>
      </c>
      <c r="E7" s="5">
        <v>31564</v>
      </c>
      <c r="F7" s="1" t="s">
        <v>4</v>
      </c>
      <c r="G7" s="1" t="s">
        <v>152</v>
      </c>
      <c r="H7" s="1" t="s">
        <v>177</v>
      </c>
      <c r="I7" s="1" t="s">
        <v>5</v>
      </c>
      <c r="J7" s="1" t="s">
        <v>6</v>
      </c>
      <c r="K7" s="4">
        <v>1</v>
      </c>
      <c r="L7" s="1">
        <v>52066.83955518862</v>
      </c>
      <c r="M7" s="1" t="s">
        <v>153</v>
      </c>
      <c r="N7" s="1">
        <v>6</v>
      </c>
      <c r="O7" s="1">
        <v>3</v>
      </c>
      <c r="P7" s="1">
        <v>2</v>
      </c>
      <c r="Q7" s="0" t="str">
        <f>VLOOKUP(C7,JobCode[[Job code]:[Positions]],2,FALSE)</f>
        <v>Analyst</v>
      </c>
      <c r="R7" s="18">
        <f>IF(VLOOKUP(C7,JobCode[],4,FALSE)=0,0,(VLOOKUP(C7,JobCode[],4,FALSE)/100*L7))</f>
        <v>0</v>
      </c>
      <c r="S7" s="23">
        <f>VLOOKUP(H7,HealthPlanRates[],2,FALSE)*12</f>
        <v>16920</v>
      </c>
      <c r="T7" s="18">
        <f>L7+S7</f>
        <v>68986.83955518862</v>
      </c>
    </row>
    <row r="8">
      <c r="A8" s="1">
        <v>7</v>
      </c>
      <c r="B8" s="1" t="s">
        <v>69</v>
      </c>
      <c r="C8" s="1">
        <v>3020</v>
      </c>
      <c r="D8" s="5">
        <v>40843</v>
      </c>
      <c r="E8" s="5">
        <v>27251</v>
      </c>
      <c r="F8" s="1" t="s">
        <v>4</v>
      </c>
      <c r="G8" s="1" t="s">
        <v>152</v>
      </c>
      <c r="H8" s="1" t="s">
        <v>175</v>
      </c>
      <c r="I8" s="1" t="s">
        <v>5</v>
      </c>
      <c r="J8" s="1" t="s">
        <v>6</v>
      </c>
      <c r="K8" s="4">
        <v>4</v>
      </c>
      <c r="L8" s="1">
        <v>111261.40854407038</v>
      </c>
      <c r="M8" s="1" t="s">
        <v>154</v>
      </c>
      <c r="N8" s="1">
        <v>8</v>
      </c>
      <c r="O8" s="1">
        <v>2</v>
      </c>
      <c r="P8" s="1">
        <v>3</v>
      </c>
      <c r="Q8" s="0" t="str">
        <f>VLOOKUP(C8,JobCode[[Job code]:[Positions]],2,FALSE)</f>
        <v>CIO</v>
      </c>
      <c r="R8" s="18">
        <f>IF(VLOOKUP(C8,JobCode[],4,FALSE)=0,0,(VLOOKUP(C8,JobCode[],4,FALSE)/100*L8))</f>
        <v>11126.140854407038</v>
      </c>
      <c r="S8" s="23">
        <f>VLOOKUP(H8,HealthPlanRates[],2,FALSE)*12</f>
        <v>12600</v>
      </c>
      <c r="T8" s="18">
        <f>L8+S8</f>
        <v>123861.40854407038</v>
      </c>
    </row>
    <row r="9">
      <c r="A9" s="1">
        <v>8</v>
      </c>
      <c r="B9" s="1" t="s">
        <v>111</v>
      </c>
      <c r="C9" s="1">
        <v>3001</v>
      </c>
      <c r="D9" s="5">
        <v>39400</v>
      </c>
      <c r="E9" s="5">
        <v>33255</v>
      </c>
      <c r="F9" s="1" t="s">
        <v>4</v>
      </c>
      <c r="G9" s="1" t="s">
        <v>25</v>
      </c>
      <c r="H9" s="1" t="s">
        <v>178</v>
      </c>
      <c r="I9" s="1" t="s">
        <v>5</v>
      </c>
      <c r="J9" s="1" t="s">
        <v>6</v>
      </c>
      <c r="K9" s="4">
        <v>8</v>
      </c>
      <c r="L9" s="1">
        <v>44260.98703259353</v>
      </c>
      <c r="M9" s="1" t="s">
        <v>155</v>
      </c>
      <c r="N9" s="1">
        <v>12</v>
      </c>
      <c r="O9" s="1">
        <v>2</v>
      </c>
      <c r="P9" s="1">
        <v>4</v>
      </c>
      <c r="Q9" s="0" t="str">
        <f>VLOOKUP(C9,JobCode[[Job code]:[Positions]],2,FALSE)</f>
        <v>IT Support</v>
      </c>
      <c r="R9" s="18">
        <f>IF(VLOOKUP(C9,JobCode[],4,FALSE)=0,0,(VLOOKUP(C9,JobCode[],4,FALSE)/100*L9))</f>
        <v>0</v>
      </c>
      <c r="S9" s="23">
        <f>VLOOKUP(H9,HealthPlanRates[],2,FALSE)*12</f>
        <v>0</v>
      </c>
      <c r="T9" s="18">
        <f>L9+S9</f>
        <v>44260.98703259353</v>
      </c>
    </row>
    <row r="10">
      <c r="A10" s="1">
        <v>9</v>
      </c>
      <c r="B10" s="1" t="s">
        <v>62</v>
      </c>
      <c r="C10" s="1">
        <v>3004</v>
      </c>
      <c r="D10" s="5">
        <v>41429</v>
      </c>
      <c r="E10" s="5">
        <v>31416</v>
      </c>
      <c r="F10" s="1" t="s">
        <v>7</v>
      </c>
      <c r="G10" s="1" t="s">
        <v>25</v>
      </c>
      <c r="H10" s="1" t="s">
        <v>176</v>
      </c>
      <c r="I10" s="1" t="s">
        <v>8</v>
      </c>
      <c r="J10" s="1" t="s">
        <v>9</v>
      </c>
      <c r="K10" s="4">
        <v>2</v>
      </c>
      <c r="L10" s="1">
        <v>65585.11761060511</v>
      </c>
      <c r="M10" s="1" t="s">
        <v>153</v>
      </c>
      <c r="N10" s="1">
        <v>5</v>
      </c>
      <c r="O10" s="1">
        <v>1</v>
      </c>
      <c r="P10" s="1">
        <v>5</v>
      </c>
      <c r="Q10" s="0" t="str">
        <f>VLOOKUP(C10,JobCode[[Job code]:[Positions]],2,FALSE)</f>
        <v>Web Developer</v>
      </c>
      <c r="R10" s="18">
        <f>IF(VLOOKUP(C10,JobCode[],4,FALSE)=0,0,(VLOOKUP(C10,JobCode[],4,FALSE)/100*L10))</f>
        <v>0</v>
      </c>
      <c r="S10" s="23">
        <f>VLOOKUP(H10,HealthPlanRates[],2,FALSE)*12</f>
        <v>31200</v>
      </c>
      <c r="T10" s="18">
        <f>L10+S10</f>
        <v>96785.11761060511</v>
      </c>
    </row>
    <row r="11">
      <c r="A11" s="1">
        <v>10</v>
      </c>
      <c r="B11" s="1" t="s">
        <v>48</v>
      </c>
      <c r="C11" s="1">
        <v>7002</v>
      </c>
      <c r="D11" s="5">
        <v>39965</v>
      </c>
      <c r="E11" s="5">
        <v>26007</v>
      </c>
      <c r="F11" s="1" t="s">
        <v>7</v>
      </c>
      <c r="G11" s="1" t="s">
        <v>27</v>
      </c>
      <c r="H11" s="1" t="s">
        <v>178</v>
      </c>
      <c r="I11" s="1" t="s">
        <v>5</v>
      </c>
      <c r="J11" s="1" t="s">
        <v>9</v>
      </c>
      <c r="K11" s="4">
        <v>6</v>
      </c>
      <c r="L11" s="1">
        <v>56878.24088869832</v>
      </c>
      <c r="M11" s="1" t="s">
        <v>153</v>
      </c>
      <c r="N11" s="1">
        <v>11</v>
      </c>
      <c r="O11" s="1">
        <v>3</v>
      </c>
      <c r="P11" s="1">
        <v>1</v>
      </c>
      <c r="Q11" s="0" t="str">
        <f>VLOOKUP(C11,JobCode[[Job code]:[Positions]],2,FALSE)</f>
        <v>HR Analyst</v>
      </c>
      <c r="R11" s="18">
        <f>IF(VLOOKUP(C11,JobCode[],4,FALSE)=0,0,(VLOOKUP(C11,JobCode[],4,FALSE)/100*L11))</f>
        <v>0</v>
      </c>
      <c r="S11" s="23">
        <f>VLOOKUP(H11,HealthPlanRates[],2,FALSE)*12</f>
        <v>0</v>
      </c>
      <c r="T11" s="18">
        <f>L11+S11</f>
        <v>56878.24088869832</v>
      </c>
    </row>
    <row r="12">
      <c r="A12" s="1">
        <v>11</v>
      </c>
      <c r="B12" s="1" t="s">
        <v>65</v>
      </c>
      <c r="C12" s="1">
        <v>2020</v>
      </c>
      <c r="D12" s="5">
        <v>41275</v>
      </c>
      <c r="E12" s="5">
        <v>32568</v>
      </c>
      <c r="F12" s="1" t="s">
        <v>4</v>
      </c>
      <c r="G12" s="1" t="s">
        <v>27</v>
      </c>
      <c r="H12" s="1" t="s">
        <v>176</v>
      </c>
      <c r="I12" s="1" t="s">
        <v>5</v>
      </c>
      <c r="J12" s="1" t="s">
        <v>9</v>
      </c>
      <c r="K12" s="4">
        <v>2</v>
      </c>
      <c r="L12" s="1">
        <v>131817.1487056772</v>
      </c>
      <c r="M12" s="1" t="s">
        <v>154</v>
      </c>
      <c r="N12" s="1">
        <v>3</v>
      </c>
      <c r="O12" s="1">
        <v>1</v>
      </c>
      <c r="P12" s="1">
        <v>5</v>
      </c>
      <c r="Q12" s="0" t="str">
        <f>VLOOKUP(C12,JobCode[[Job code]:[Positions]],2,FALSE)</f>
        <v>CFO</v>
      </c>
      <c r="R12" s="18">
        <f>IF(VLOOKUP(C12,JobCode[],4,FALSE)=0,0,(VLOOKUP(C12,JobCode[],4,FALSE)/100*L12))</f>
        <v>13181.71487056772</v>
      </c>
      <c r="S12" s="23">
        <f>VLOOKUP(H12,HealthPlanRates[],2,FALSE)*12</f>
        <v>31200</v>
      </c>
      <c r="T12" s="18">
        <f>L12+S12</f>
        <v>163017.1487056772</v>
      </c>
    </row>
    <row r="13">
      <c r="A13" s="1">
        <v>12</v>
      </c>
      <c r="B13" s="1" t="s">
        <v>112</v>
      </c>
      <c r="C13" s="1">
        <v>1004</v>
      </c>
      <c r="D13" s="5">
        <v>40817</v>
      </c>
      <c r="E13" s="5">
        <v>26414</v>
      </c>
      <c r="F13" s="1" t="s">
        <v>7</v>
      </c>
      <c r="G13" s="1" t="s">
        <v>25</v>
      </c>
      <c r="H13" s="1" t="s">
        <v>177</v>
      </c>
      <c r="I13" s="1" t="s">
        <v>5</v>
      </c>
      <c r="J13" s="1" t="s">
        <v>9</v>
      </c>
      <c r="K13" s="4">
        <v>4</v>
      </c>
      <c r="L13" s="1">
        <v>45106.76800623991</v>
      </c>
      <c r="M13" s="1" t="s">
        <v>155</v>
      </c>
      <c r="N13" s="1">
        <v>6</v>
      </c>
      <c r="O13" s="1">
        <v>2</v>
      </c>
      <c r="P13" s="1">
        <v>4</v>
      </c>
      <c r="Q13" s="0" t="str">
        <f>VLOOKUP(C13,JobCode[[Job code]:[Positions]],2,FALSE)</f>
        <v>Inspector</v>
      </c>
      <c r="R13" s="18">
        <f>IF(VLOOKUP(C13,JobCode[],4,FALSE)=0,0,(VLOOKUP(C13,JobCode[],4,FALSE)/100*L13))</f>
        <v>0</v>
      </c>
      <c r="S13" s="23">
        <f>VLOOKUP(H13,HealthPlanRates[],2,FALSE)*12</f>
        <v>16920</v>
      </c>
      <c r="T13" s="18">
        <f>L13+S13</f>
        <v>62026.76800623991</v>
      </c>
    </row>
    <row r="14">
      <c r="A14" s="1">
        <v>13</v>
      </c>
      <c r="B14" s="1" t="s">
        <v>58</v>
      </c>
      <c r="C14" s="1">
        <v>3002</v>
      </c>
      <c r="D14" s="5">
        <v>39491</v>
      </c>
      <c r="E14" s="5">
        <v>29511</v>
      </c>
      <c r="F14" s="1" t="s">
        <v>7</v>
      </c>
      <c r="G14" s="1" t="s">
        <v>27</v>
      </c>
      <c r="H14" s="1" t="s">
        <v>174</v>
      </c>
      <c r="I14" s="1" t="s">
        <v>5</v>
      </c>
      <c r="J14" s="1" t="s">
        <v>9</v>
      </c>
      <c r="K14" s="4">
        <v>7</v>
      </c>
      <c r="L14" s="1">
        <v>47202.66839093863</v>
      </c>
      <c r="M14" s="1" t="s">
        <v>155</v>
      </c>
      <c r="N14" s="1">
        <v>9</v>
      </c>
      <c r="O14" s="1">
        <v>1</v>
      </c>
      <c r="P14" s="1">
        <v>4</v>
      </c>
      <c r="Q14" s="0" t="str">
        <f>VLOOKUP(C14,JobCode[[Job code]:[Positions]],2,FALSE)</f>
        <v>Developer</v>
      </c>
      <c r="R14" s="18">
        <f>IF(VLOOKUP(C14,JobCode[],4,FALSE)=0,0,(VLOOKUP(C14,JobCode[],4,FALSE)/100*L14))</f>
        <v>0</v>
      </c>
      <c r="S14" s="23">
        <f>VLOOKUP(H14,HealthPlanRates[],2,FALSE)*12</f>
        <v>25800</v>
      </c>
      <c r="T14" s="18">
        <f>L14+S14</f>
        <v>73002.66839093863</v>
      </c>
    </row>
    <row r="15">
      <c r="A15" s="1">
        <v>14</v>
      </c>
      <c r="B15" s="1" t="s">
        <v>34</v>
      </c>
      <c r="C15" s="1">
        <v>4001</v>
      </c>
      <c r="D15" s="5">
        <v>39997</v>
      </c>
      <c r="E15" s="5">
        <v>31321</v>
      </c>
      <c r="F15" s="1" t="s">
        <v>7</v>
      </c>
      <c r="G15" s="1" t="s">
        <v>25</v>
      </c>
      <c r="H15" s="1" t="s">
        <v>178</v>
      </c>
      <c r="I15" s="1" t="s">
        <v>5</v>
      </c>
      <c r="J15" s="1" t="s">
        <v>9</v>
      </c>
      <c r="K15" s="4">
        <v>6</v>
      </c>
      <c r="L15" s="1">
        <v>60426.50385899103</v>
      </c>
      <c r="M15" s="1" t="s">
        <v>153</v>
      </c>
      <c r="N15" s="1">
        <v>11</v>
      </c>
      <c r="O15" s="1">
        <v>2</v>
      </c>
      <c r="P15" s="1">
        <v>5</v>
      </c>
      <c r="Q15" s="0" t="str">
        <f>VLOOKUP(C15,JobCode[[Job code]:[Positions]],2,FALSE)</f>
        <v>Sales Rep</v>
      </c>
      <c r="R15" s="18">
        <f>IF(VLOOKUP(C15,JobCode[],4,FALSE)=0,0,(VLOOKUP(C15,JobCode[],4,FALSE)/100*L15))</f>
        <v>0</v>
      </c>
      <c r="S15" s="23">
        <f>VLOOKUP(H15,HealthPlanRates[],2,FALSE)*12</f>
        <v>0</v>
      </c>
      <c r="T15" s="18">
        <f>L15+S15</f>
        <v>60426.50385899103</v>
      </c>
    </row>
    <row r="16">
      <c r="A16" s="1">
        <v>15</v>
      </c>
      <c r="B16" s="1" t="s">
        <v>43</v>
      </c>
      <c r="C16" s="1">
        <v>4013</v>
      </c>
      <c r="D16" s="5">
        <v>43441</v>
      </c>
      <c r="E16" s="5">
        <v>33287</v>
      </c>
      <c r="F16" s="1" t="s">
        <v>4</v>
      </c>
      <c r="G16" s="1" t="s">
        <v>27</v>
      </c>
      <c r="H16" s="1" t="s">
        <v>177</v>
      </c>
      <c r="I16" s="1" t="s">
        <v>5</v>
      </c>
      <c r="J16" s="1" t="s">
        <v>9</v>
      </c>
      <c r="K16" s="4">
        <v>1</v>
      </c>
      <c r="L16" s="1">
        <v>95288.90117542172</v>
      </c>
      <c r="M16" s="1" t="s">
        <v>153</v>
      </c>
      <c r="N16" s="1">
        <v>2</v>
      </c>
      <c r="O16" s="1">
        <v>1</v>
      </c>
      <c r="P16" s="1">
        <v>2</v>
      </c>
      <c r="Q16" s="0" t="str">
        <f>VLOOKUP(C16,JobCode[[Job code]:[Positions]],2,FALSE)</f>
        <v>Sales Manager</v>
      </c>
      <c r="R16" s="18">
        <f>IF(VLOOKUP(C16,JobCode[],4,FALSE)=0,0,(VLOOKUP(C16,JobCode[],4,FALSE)/100*L16))</f>
        <v>4764.445058771086</v>
      </c>
      <c r="S16" s="23">
        <f>VLOOKUP(H16,HealthPlanRates[],2,FALSE)*12</f>
        <v>16920</v>
      </c>
      <c r="T16" s="18">
        <f>L16+S16</f>
        <v>112208.90117542172</v>
      </c>
    </row>
    <row r="17">
      <c r="A17" s="1">
        <v>16</v>
      </c>
      <c r="B17" s="1" t="s">
        <v>108</v>
      </c>
      <c r="C17" s="1">
        <v>1013</v>
      </c>
      <c r="D17" s="5">
        <v>41107</v>
      </c>
      <c r="E17" s="5">
        <v>29845</v>
      </c>
      <c r="F17" s="1" t="s">
        <v>7</v>
      </c>
      <c r="G17" s="1" t="s">
        <v>25</v>
      </c>
      <c r="H17" s="1" t="s">
        <v>176</v>
      </c>
      <c r="I17" s="1" t="s">
        <v>5</v>
      </c>
      <c r="J17" s="1" t="s">
        <v>6</v>
      </c>
      <c r="K17" s="4">
        <v>3</v>
      </c>
      <c r="L17" s="1">
        <v>80794.92786353381</v>
      </c>
      <c r="M17" s="1" t="s">
        <v>153</v>
      </c>
      <c r="N17" s="1">
        <v>7</v>
      </c>
      <c r="O17" s="1">
        <v>2</v>
      </c>
      <c r="P17" s="1">
        <v>1</v>
      </c>
      <c r="Q17" s="0" t="str">
        <f>VLOOKUP(C17,JobCode[[Job code]:[Positions]],2,FALSE)</f>
        <v>Supervisor</v>
      </c>
      <c r="R17" s="18">
        <f>IF(VLOOKUP(C17,JobCode[],4,FALSE)=0,0,(VLOOKUP(C17,JobCode[],4,FALSE)/100*L17))</f>
        <v>2423.847835906014</v>
      </c>
      <c r="S17" s="23">
        <f>VLOOKUP(H17,HealthPlanRates[],2,FALSE)*12</f>
        <v>31200</v>
      </c>
      <c r="T17" s="18">
        <f>L17+S17</f>
        <v>111994.92786353381</v>
      </c>
    </row>
    <row r="18">
      <c r="A18" s="1">
        <v>17</v>
      </c>
      <c r="B18" s="1" t="s">
        <v>102</v>
      </c>
      <c r="C18" s="1">
        <v>4001</v>
      </c>
      <c r="D18" s="5">
        <v>41579</v>
      </c>
      <c r="E18" s="5">
        <v>33681</v>
      </c>
      <c r="F18" s="1" t="s">
        <v>4</v>
      </c>
      <c r="G18" s="1" t="s">
        <v>27</v>
      </c>
      <c r="H18" s="1" t="s">
        <v>174</v>
      </c>
      <c r="I18" s="1" t="s">
        <v>5</v>
      </c>
      <c r="J18" s="1" t="s">
        <v>6</v>
      </c>
      <c r="K18" s="4">
        <v>2</v>
      </c>
      <c r="L18" s="1">
        <v>83313.23181737901</v>
      </c>
      <c r="M18" s="1" t="s">
        <v>153</v>
      </c>
      <c r="N18" s="1">
        <v>7</v>
      </c>
      <c r="O18" s="1">
        <v>3</v>
      </c>
      <c r="P18" s="1">
        <v>5</v>
      </c>
      <c r="Q18" s="0" t="str">
        <f>VLOOKUP(C18,JobCode[[Job code]:[Positions]],2,FALSE)</f>
        <v>Sales Rep</v>
      </c>
      <c r="R18" s="18">
        <f>IF(VLOOKUP(C18,JobCode[],4,FALSE)=0,0,(VLOOKUP(C18,JobCode[],4,FALSE)/100*L18))</f>
        <v>0</v>
      </c>
      <c r="S18" s="23">
        <f>VLOOKUP(H18,HealthPlanRates[],2,FALSE)*12</f>
        <v>25800</v>
      </c>
      <c r="T18" s="18">
        <f>L18+S18</f>
        <v>109113.23181737901</v>
      </c>
    </row>
    <row r="19">
      <c r="A19" s="1">
        <v>18</v>
      </c>
      <c r="B19" s="1" t="s">
        <v>109</v>
      </c>
      <c r="C19" s="1">
        <v>1005</v>
      </c>
      <c r="D19" s="5">
        <v>39936</v>
      </c>
      <c r="E19" s="5">
        <v>28362</v>
      </c>
      <c r="F19" s="1" t="s">
        <v>7</v>
      </c>
      <c r="G19" s="1" t="s">
        <v>152</v>
      </c>
      <c r="H19" s="1" t="s">
        <v>174</v>
      </c>
      <c r="I19" s="1" t="s">
        <v>5</v>
      </c>
      <c r="J19" s="1" t="s">
        <v>6</v>
      </c>
      <c r="K19" s="4">
        <v>6</v>
      </c>
      <c r="L19" s="1">
        <v>72705.88867554686</v>
      </c>
      <c r="M19" s="1" t="s">
        <v>153</v>
      </c>
      <c r="N19" s="1">
        <v>8</v>
      </c>
      <c r="O19" s="1">
        <v>1</v>
      </c>
      <c r="P19" s="1">
        <v>4</v>
      </c>
      <c r="Q19" s="0" t="str">
        <f>VLOOKUP(C19,JobCode[[Job code]:[Positions]],2,FALSE)</f>
        <v>Quality Inspector</v>
      </c>
      <c r="R19" s="18">
        <f>IF(VLOOKUP(C19,JobCode[],4,FALSE)=0,0,(VLOOKUP(C19,JobCode[],4,FALSE)/100*L19))</f>
        <v>0</v>
      </c>
      <c r="S19" s="23">
        <f>VLOOKUP(H19,HealthPlanRates[],2,FALSE)*12</f>
        <v>25800</v>
      </c>
      <c r="T19" s="18">
        <f>L19+S19</f>
        <v>98505.88867554686</v>
      </c>
    </row>
    <row r="20">
      <c r="A20" s="1">
        <v>19</v>
      </c>
      <c r="B20" s="1" t="s">
        <v>57</v>
      </c>
      <c r="C20" s="1">
        <v>4013</v>
      </c>
      <c r="D20" s="5">
        <v>39680</v>
      </c>
      <c r="E20" s="5">
        <v>29639</v>
      </c>
      <c r="F20" s="1" t="s">
        <v>4</v>
      </c>
      <c r="G20" s="1" t="s">
        <v>25</v>
      </c>
      <c r="H20" s="1" t="s">
        <v>175</v>
      </c>
      <c r="I20" s="1" t="s">
        <v>5</v>
      </c>
      <c r="J20" s="1" t="s">
        <v>6</v>
      </c>
      <c r="K20" s="4">
        <v>7</v>
      </c>
      <c r="L20" s="1">
        <v>123697.07473606718</v>
      </c>
      <c r="M20" s="1" t="s">
        <v>154</v>
      </c>
      <c r="N20" s="1">
        <v>9</v>
      </c>
      <c r="O20" s="1">
        <v>1</v>
      </c>
      <c r="P20" s="1">
        <v>4</v>
      </c>
      <c r="Q20" s="0" t="str">
        <f>VLOOKUP(C20,JobCode[[Job code]:[Positions]],2,FALSE)</f>
        <v>Sales Manager</v>
      </c>
      <c r="R20" s="18">
        <f>IF(VLOOKUP(C20,JobCode[],4,FALSE)=0,0,(VLOOKUP(C20,JobCode[],4,FALSE)/100*L20))</f>
        <v>6184.853736803359</v>
      </c>
      <c r="S20" s="23">
        <f>VLOOKUP(H20,HealthPlanRates[],2,FALSE)*12</f>
        <v>12600</v>
      </c>
      <c r="T20" s="18">
        <f>L20+S20</f>
        <v>136297.07473606718</v>
      </c>
    </row>
    <row r="21">
      <c r="A21" s="1">
        <v>20</v>
      </c>
      <c r="B21" s="1" t="s">
        <v>70</v>
      </c>
      <c r="C21" s="1">
        <v>2004</v>
      </c>
      <c r="D21" s="5">
        <v>40991</v>
      </c>
      <c r="E21" s="5">
        <v>33091</v>
      </c>
      <c r="F21" s="1" t="s">
        <v>7</v>
      </c>
      <c r="G21" s="1" t="s">
        <v>26</v>
      </c>
      <c r="H21" s="1" t="s">
        <v>178</v>
      </c>
      <c r="I21" s="1" t="s">
        <v>5</v>
      </c>
      <c r="J21" s="1" t="s">
        <v>6</v>
      </c>
      <c r="K21" s="4">
        <v>3</v>
      </c>
      <c r="L21" s="1">
        <v>41678.32987074379</v>
      </c>
      <c r="M21" s="1" t="s">
        <v>155</v>
      </c>
      <c r="N21" s="1">
        <v>7</v>
      </c>
      <c r="O21" s="1">
        <v>2</v>
      </c>
      <c r="P21" s="1">
        <v>4</v>
      </c>
      <c r="Q21" s="0" t="str">
        <f>VLOOKUP(C21,JobCode[[Job code]:[Positions]],2,FALSE)</f>
        <v>Payroll</v>
      </c>
      <c r="R21" s="18">
        <f>IF(VLOOKUP(C21,JobCode[],4,FALSE)=0,0,(VLOOKUP(C21,JobCode[],4,FALSE)/100*L21))</f>
        <v>0</v>
      </c>
      <c r="S21" s="23">
        <f>VLOOKUP(H21,HealthPlanRates[],2,FALSE)*12</f>
        <v>0</v>
      </c>
      <c r="T21" s="18">
        <f>L21+S21</f>
        <v>41678.32987074379</v>
      </c>
    </row>
    <row r="22">
      <c r="A22" s="1">
        <v>21</v>
      </c>
      <c r="B22" s="1" t="s">
        <v>30</v>
      </c>
      <c r="C22" s="1">
        <v>5013</v>
      </c>
      <c r="D22" s="5">
        <v>41581</v>
      </c>
      <c r="E22" s="5">
        <v>26695</v>
      </c>
      <c r="F22" s="1" t="s">
        <v>4</v>
      </c>
      <c r="G22" s="1" t="s">
        <v>25</v>
      </c>
      <c r="H22" s="1" t="s">
        <v>174</v>
      </c>
      <c r="I22" s="1" t="s">
        <v>5</v>
      </c>
      <c r="J22" s="1" t="s">
        <v>6</v>
      </c>
      <c r="K22" s="4">
        <v>2</v>
      </c>
      <c r="L22" s="1">
        <v>121005.16246941987</v>
      </c>
      <c r="M22" s="1" t="s">
        <v>154</v>
      </c>
      <c r="N22" s="1">
        <v>4</v>
      </c>
      <c r="O22" s="1">
        <v>3</v>
      </c>
      <c r="P22" s="1">
        <v>5</v>
      </c>
      <c r="Q22" s="0" t="str">
        <f>VLOOKUP(C22,JobCode[[Job code]:[Positions]],2,FALSE)</f>
        <v>Marketing Manager</v>
      </c>
      <c r="R22" s="18">
        <f>IF(VLOOKUP(C22,JobCode[],4,FALSE)=0,0,(VLOOKUP(C22,JobCode[],4,FALSE)/100*L22))</f>
        <v>6050.258123470994</v>
      </c>
      <c r="S22" s="23">
        <f>VLOOKUP(H22,HealthPlanRates[],2,FALSE)*12</f>
        <v>25800</v>
      </c>
      <c r="T22" s="18">
        <f>L22+S22</f>
        <v>146805.16246941988</v>
      </c>
    </row>
    <row r="23">
      <c r="A23" s="1">
        <v>22</v>
      </c>
      <c r="B23" s="1" t="s">
        <v>93</v>
      </c>
      <c r="C23" s="1">
        <v>3002</v>
      </c>
      <c r="D23" s="5">
        <v>41539</v>
      </c>
      <c r="E23" s="5">
        <v>25541</v>
      </c>
      <c r="F23" s="1" t="s">
        <v>4</v>
      </c>
      <c r="G23" s="1" t="s">
        <v>25</v>
      </c>
      <c r="H23" s="1" t="s">
        <v>174</v>
      </c>
      <c r="I23" s="1" t="s">
        <v>5</v>
      </c>
      <c r="J23" s="1" t="s">
        <v>6</v>
      </c>
      <c r="K23" s="4">
        <v>2</v>
      </c>
      <c r="L23" s="1">
        <v>90275.54592507084</v>
      </c>
      <c r="M23" s="1" t="s">
        <v>153</v>
      </c>
      <c r="N23" s="1">
        <v>3</v>
      </c>
      <c r="O23" s="1">
        <v>1</v>
      </c>
      <c r="P23" s="1">
        <v>5</v>
      </c>
      <c r="Q23" s="0" t="str">
        <f>VLOOKUP(C23,JobCode[[Job code]:[Positions]],2,FALSE)</f>
        <v>Developer</v>
      </c>
      <c r="R23" s="18">
        <f>IF(VLOOKUP(C23,JobCode[],4,FALSE)=0,0,(VLOOKUP(C23,JobCode[],4,FALSE)/100*L23))</f>
        <v>0</v>
      </c>
      <c r="S23" s="23">
        <f>VLOOKUP(H23,HealthPlanRates[],2,FALSE)*12</f>
        <v>25800</v>
      </c>
      <c r="T23" s="18">
        <f>L23+S23</f>
        <v>116075.54592507084</v>
      </c>
    </row>
    <row r="24">
      <c r="A24" s="1">
        <v>23</v>
      </c>
      <c r="B24" s="1" t="s">
        <v>79</v>
      </c>
      <c r="C24" s="1">
        <v>1020</v>
      </c>
      <c r="D24" s="5">
        <v>43303</v>
      </c>
      <c r="E24" s="5">
        <v>31245</v>
      </c>
      <c r="F24" s="1" t="s">
        <v>4</v>
      </c>
      <c r="G24" s="1" t="s">
        <v>26</v>
      </c>
      <c r="H24" s="1" t="s">
        <v>175</v>
      </c>
      <c r="I24" s="1" t="s">
        <v>8</v>
      </c>
      <c r="J24" s="1" t="s">
        <v>9</v>
      </c>
      <c r="K24" s="4">
        <v>1</v>
      </c>
      <c r="L24" s="1">
        <v>98838.27864604212</v>
      </c>
      <c r="M24" s="1" t="s">
        <v>153</v>
      </c>
      <c r="N24" s="1">
        <v>2</v>
      </c>
      <c r="O24" s="1">
        <v>3</v>
      </c>
      <c r="P24" s="1">
        <v>3</v>
      </c>
      <c r="Q24" s="0" t="str">
        <f>VLOOKUP(C24,JobCode[[Job code]:[Positions]],2,FALSE)</f>
        <v>COO</v>
      </c>
      <c r="R24" s="18">
        <f>IF(VLOOKUP(C24,JobCode[],4,FALSE)=0,0,(VLOOKUP(C24,JobCode[],4,FALSE)/100*L24))</f>
        <v>9883.827864604213</v>
      </c>
      <c r="S24" s="23">
        <f>VLOOKUP(H24,HealthPlanRates[],2,FALSE)*12</f>
        <v>12600</v>
      </c>
      <c r="T24" s="18">
        <f>L24+S24</f>
        <v>111438.27864604212</v>
      </c>
    </row>
    <row r="25">
      <c r="A25" s="1">
        <v>24</v>
      </c>
      <c r="B25" s="1" t="s">
        <v>18</v>
      </c>
      <c r="C25" s="1">
        <v>2020</v>
      </c>
      <c r="D25" s="5">
        <v>43135</v>
      </c>
      <c r="E25" s="5">
        <v>26376</v>
      </c>
      <c r="F25" s="1" t="s">
        <v>4</v>
      </c>
      <c r="G25" s="1" t="s">
        <v>25</v>
      </c>
      <c r="H25" s="1" t="s">
        <v>174</v>
      </c>
      <c r="I25" s="1" t="s">
        <v>5</v>
      </c>
      <c r="J25" s="1" t="s">
        <v>6</v>
      </c>
      <c r="K25" s="4">
        <v>1</v>
      </c>
      <c r="L25" s="1">
        <v>153257.38429258752</v>
      </c>
      <c r="M25" s="1" t="s">
        <v>154</v>
      </c>
      <c r="N25" s="1">
        <v>4</v>
      </c>
      <c r="O25" s="1">
        <v>3</v>
      </c>
      <c r="P25" s="1">
        <v>4</v>
      </c>
      <c r="Q25" s="0" t="str">
        <f>VLOOKUP(C25,JobCode[[Job code]:[Positions]],2,FALSE)</f>
        <v>CFO</v>
      </c>
      <c r="R25" s="18">
        <f>IF(VLOOKUP(C25,JobCode[],4,FALSE)=0,0,(VLOOKUP(C25,JobCode[],4,FALSE)/100*L25))</f>
        <v>15325.738429258752</v>
      </c>
      <c r="S25" s="23">
        <f>VLOOKUP(H25,HealthPlanRates[],2,FALSE)*12</f>
        <v>25800</v>
      </c>
      <c r="T25" s="18">
        <f>L25+S25</f>
        <v>179057.38429258752</v>
      </c>
    </row>
    <row r="26">
      <c r="A26" s="1">
        <v>25</v>
      </c>
      <c r="B26" s="1" t="s">
        <v>44</v>
      </c>
      <c r="C26" s="1">
        <v>1012</v>
      </c>
      <c r="D26" s="5">
        <v>40735</v>
      </c>
      <c r="E26" s="5">
        <v>30252</v>
      </c>
      <c r="F26" s="1" t="s">
        <v>7</v>
      </c>
      <c r="G26" s="1" t="s">
        <v>25</v>
      </c>
      <c r="H26" s="1" t="s">
        <v>178</v>
      </c>
      <c r="I26" s="1" t="s">
        <v>5</v>
      </c>
      <c r="J26" s="1" t="s">
        <v>9</v>
      </c>
      <c r="K26" s="4">
        <v>4</v>
      </c>
      <c r="L26" s="1">
        <v>75717.40385107411</v>
      </c>
      <c r="M26" s="1" t="s">
        <v>153</v>
      </c>
      <c r="N26" s="1">
        <v>7</v>
      </c>
      <c r="O26" s="1">
        <v>3</v>
      </c>
      <c r="P26" s="1">
        <v>5</v>
      </c>
      <c r="Q26" s="0" t="str">
        <f>VLOOKUP(C26,JobCode[[Job code]:[Positions]],2,FALSE)</f>
        <v>Receiver</v>
      </c>
      <c r="R26" s="18">
        <f>IF(VLOOKUP(C26,JobCode[],4,FALSE)=0,0,(VLOOKUP(C26,JobCode[],4,FALSE)/100*L26))</f>
        <v>0</v>
      </c>
      <c r="S26" s="23">
        <f>VLOOKUP(H26,HealthPlanRates[],2,FALSE)*12</f>
        <v>0</v>
      </c>
      <c r="T26" s="18">
        <f>L26+S26</f>
        <v>75717.40385107411</v>
      </c>
    </row>
    <row r="27">
      <c r="A27" s="1">
        <v>26</v>
      </c>
      <c r="B27" s="1" t="s">
        <v>75</v>
      </c>
      <c r="C27" s="1">
        <v>3002</v>
      </c>
      <c r="D27" s="5">
        <v>40786</v>
      </c>
      <c r="E27" s="5">
        <v>30623</v>
      </c>
      <c r="F27" s="1" t="s">
        <v>4</v>
      </c>
      <c r="G27" s="1" t="s">
        <v>152</v>
      </c>
      <c r="H27" s="1" t="s">
        <v>178</v>
      </c>
      <c r="I27" s="1" t="s">
        <v>5</v>
      </c>
      <c r="J27" s="1" t="s">
        <v>6</v>
      </c>
      <c r="K27" s="4">
        <v>4</v>
      </c>
      <c r="L27" s="1">
        <v>47265.95658446711</v>
      </c>
      <c r="M27" s="1" t="s">
        <v>155</v>
      </c>
      <c r="N27" s="1">
        <v>8</v>
      </c>
      <c r="O27" s="1">
        <v>2</v>
      </c>
      <c r="P27" s="1">
        <v>4</v>
      </c>
      <c r="Q27" s="0" t="str">
        <f>VLOOKUP(C27,JobCode[[Job code]:[Positions]],2,FALSE)</f>
        <v>Developer</v>
      </c>
      <c r="R27" s="18">
        <f>IF(VLOOKUP(C27,JobCode[],4,FALSE)=0,0,(VLOOKUP(C27,JobCode[],4,FALSE)/100*L27))</f>
        <v>0</v>
      </c>
      <c r="S27" s="23">
        <f>VLOOKUP(H27,HealthPlanRates[],2,FALSE)*12</f>
        <v>0</v>
      </c>
      <c r="T27" s="18">
        <f>L27+S27</f>
        <v>47265.95658446711</v>
      </c>
    </row>
    <row r="28">
      <c r="A28" s="1">
        <v>27</v>
      </c>
      <c r="B28" s="1" t="s">
        <v>105</v>
      </c>
      <c r="C28" s="1">
        <v>6001</v>
      </c>
      <c r="D28" s="5">
        <v>41439</v>
      </c>
      <c r="E28" s="5">
        <v>26362</v>
      </c>
      <c r="F28" s="1" t="s">
        <v>7</v>
      </c>
      <c r="G28" s="1" t="s">
        <v>25</v>
      </c>
      <c r="H28" s="1" t="s">
        <v>176</v>
      </c>
      <c r="I28" s="1" t="s">
        <v>5</v>
      </c>
      <c r="J28" s="1" t="s">
        <v>9</v>
      </c>
      <c r="K28" s="4">
        <v>2</v>
      </c>
      <c r="L28" s="1">
        <v>49100.80203140994</v>
      </c>
      <c r="M28" s="1" t="s">
        <v>155</v>
      </c>
      <c r="N28" s="1">
        <v>3</v>
      </c>
      <c r="O28" s="1">
        <v>1</v>
      </c>
      <c r="P28" s="1">
        <v>3</v>
      </c>
      <c r="Q28" s="0" t="str">
        <f>VLOOKUP(C28,JobCode[[Job code]:[Positions]],2,FALSE)</f>
        <v>Purchasing Agent</v>
      </c>
      <c r="R28" s="18">
        <f>IF(VLOOKUP(C28,JobCode[],4,FALSE)=0,0,(VLOOKUP(C28,JobCode[],4,FALSE)/100*L28))</f>
        <v>0</v>
      </c>
      <c r="S28" s="23">
        <f>VLOOKUP(H28,HealthPlanRates[],2,FALSE)*12</f>
        <v>31200</v>
      </c>
      <c r="T28" s="18">
        <f>L28+S28</f>
        <v>80300.80203140994</v>
      </c>
    </row>
    <row r="29">
      <c r="A29" s="1">
        <v>28</v>
      </c>
      <c r="B29" s="1" t="s">
        <v>110</v>
      </c>
      <c r="C29" s="1">
        <v>2004</v>
      </c>
      <c r="D29" s="5">
        <v>41589</v>
      </c>
      <c r="E29" s="5">
        <v>26346</v>
      </c>
      <c r="F29" s="1" t="s">
        <v>4</v>
      </c>
      <c r="G29" s="1" t="s">
        <v>152</v>
      </c>
      <c r="H29" s="1" t="s">
        <v>174</v>
      </c>
      <c r="I29" s="1" t="s">
        <v>5</v>
      </c>
      <c r="J29" s="1" t="s">
        <v>6</v>
      </c>
      <c r="K29" s="4">
        <v>2</v>
      </c>
      <c r="L29" s="1">
        <v>68293.25853943921</v>
      </c>
      <c r="M29" s="1" t="s">
        <v>153</v>
      </c>
      <c r="N29" s="1">
        <v>6</v>
      </c>
      <c r="O29" s="1">
        <v>1</v>
      </c>
      <c r="P29" s="1">
        <v>4</v>
      </c>
      <c r="Q29" s="0" t="str">
        <f>VLOOKUP(C29,JobCode[[Job code]:[Positions]],2,FALSE)</f>
        <v>Payroll</v>
      </c>
      <c r="R29" s="18">
        <f>IF(VLOOKUP(C29,JobCode[],4,FALSE)=0,0,(VLOOKUP(C29,JobCode[],4,FALSE)/100*L29))</f>
        <v>0</v>
      </c>
      <c r="S29" s="23">
        <f>VLOOKUP(H29,HealthPlanRates[],2,FALSE)*12</f>
        <v>25800</v>
      </c>
      <c r="T29" s="18">
        <f>L29+S29</f>
        <v>94093.25853943921</v>
      </c>
    </row>
    <row r="30">
      <c r="A30" s="1">
        <v>29</v>
      </c>
      <c r="B30" s="1" t="s">
        <v>17</v>
      </c>
      <c r="C30" s="1">
        <v>2013</v>
      </c>
      <c r="D30" s="5">
        <v>40713</v>
      </c>
      <c r="E30" s="5">
        <v>30545</v>
      </c>
      <c r="F30" s="1" t="s">
        <v>4</v>
      </c>
      <c r="G30" s="1" t="s">
        <v>27</v>
      </c>
      <c r="H30" s="1" t="s">
        <v>174</v>
      </c>
      <c r="I30" s="1" t="s">
        <v>5</v>
      </c>
      <c r="J30" s="1" t="s">
        <v>6</v>
      </c>
      <c r="K30" s="4">
        <v>4</v>
      </c>
      <c r="L30" s="1">
        <v>78483.38847190111</v>
      </c>
      <c r="M30" s="1" t="s">
        <v>153</v>
      </c>
      <c r="N30" s="1">
        <v>6</v>
      </c>
      <c r="O30" s="1">
        <v>3</v>
      </c>
      <c r="P30" s="1">
        <v>5</v>
      </c>
      <c r="Q30" s="0" t="str">
        <f>VLOOKUP(C30,JobCode[[Job code]:[Positions]],2,FALSE)</f>
        <v>Controller</v>
      </c>
      <c r="R30" s="18">
        <f>IF(VLOOKUP(C30,JobCode[],4,FALSE)=0,0,(VLOOKUP(C30,JobCode[],4,FALSE)/100*L30))</f>
        <v>3924.169423595056</v>
      </c>
      <c r="S30" s="23">
        <f>VLOOKUP(H30,HealthPlanRates[],2,FALSE)*12</f>
        <v>25800</v>
      </c>
      <c r="T30" s="18">
        <f>L30+S30</f>
        <v>104283.38847190111</v>
      </c>
    </row>
    <row r="31">
      <c r="A31" s="1">
        <v>30</v>
      </c>
      <c r="B31" s="1" t="s">
        <v>59</v>
      </c>
      <c r="C31" s="1">
        <v>3004</v>
      </c>
      <c r="D31" s="5">
        <v>38681</v>
      </c>
      <c r="E31" s="5">
        <v>33232</v>
      </c>
      <c r="F31" s="1" t="s">
        <v>7</v>
      </c>
      <c r="G31" s="1" t="s">
        <v>152</v>
      </c>
      <c r="H31" s="1" t="s">
        <v>174</v>
      </c>
      <c r="I31" s="1" t="s">
        <v>5</v>
      </c>
      <c r="J31" s="1" t="s">
        <v>6</v>
      </c>
      <c r="K31" s="4">
        <v>10</v>
      </c>
      <c r="L31" s="1">
        <v>65450.31911314114</v>
      </c>
      <c r="M31" s="1" t="s">
        <v>153</v>
      </c>
      <c r="N31" s="1">
        <v>11</v>
      </c>
      <c r="O31" s="1">
        <v>2</v>
      </c>
      <c r="P31" s="1">
        <v>2</v>
      </c>
      <c r="Q31" s="0" t="str">
        <f>VLOOKUP(C31,JobCode[[Job code]:[Positions]],2,FALSE)</f>
        <v>Web Developer</v>
      </c>
      <c r="R31" s="18">
        <f>IF(VLOOKUP(C31,JobCode[],4,FALSE)=0,0,(VLOOKUP(C31,JobCode[],4,FALSE)/100*L31))</f>
        <v>0</v>
      </c>
      <c r="S31" s="23">
        <f>VLOOKUP(H31,HealthPlanRates[],2,FALSE)*12</f>
        <v>25800</v>
      </c>
      <c r="T31" s="18">
        <f>L31+S31</f>
        <v>91250.31911314113</v>
      </c>
    </row>
    <row r="32">
      <c r="A32" s="1">
        <v>31</v>
      </c>
      <c r="B32" s="1" t="s">
        <v>28</v>
      </c>
      <c r="C32" s="1">
        <v>7002</v>
      </c>
      <c r="D32" s="5">
        <v>39406</v>
      </c>
      <c r="E32" s="5">
        <v>29448</v>
      </c>
      <c r="F32" s="1" t="s">
        <v>4</v>
      </c>
      <c r="G32" s="1" t="s">
        <v>25</v>
      </c>
      <c r="H32" s="1" t="s">
        <v>175</v>
      </c>
      <c r="I32" s="1" t="s">
        <v>5</v>
      </c>
      <c r="J32" s="1" t="s">
        <v>6</v>
      </c>
      <c r="K32" s="4">
        <v>8</v>
      </c>
      <c r="L32" s="1">
        <v>68715.3401915344</v>
      </c>
      <c r="M32" s="1" t="s">
        <v>153</v>
      </c>
      <c r="N32" s="1">
        <v>9</v>
      </c>
      <c r="O32" s="1">
        <v>1</v>
      </c>
      <c r="P32" s="1">
        <v>3</v>
      </c>
      <c r="Q32" s="0" t="str">
        <f>VLOOKUP(C32,JobCode[[Job code]:[Positions]],2,FALSE)</f>
        <v>HR Analyst</v>
      </c>
      <c r="R32" s="18">
        <f>IF(VLOOKUP(C32,JobCode[],4,FALSE)=0,0,(VLOOKUP(C32,JobCode[],4,FALSE)/100*L32))</f>
        <v>0</v>
      </c>
      <c r="S32" s="23">
        <f>VLOOKUP(H32,HealthPlanRates[],2,FALSE)*12</f>
        <v>12600</v>
      </c>
      <c r="T32" s="18">
        <f>L32+S32</f>
        <v>81315.3401915344</v>
      </c>
    </row>
    <row r="33">
      <c r="A33" s="1">
        <v>32</v>
      </c>
      <c r="B33" s="1" t="s">
        <v>106</v>
      </c>
      <c r="C33" s="1">
        <v>3020</v>
      </c>
      <c r="D33" s="5">
        <v>41463</v>
      </c>
      <c r="E33" s="5">
        <v>28747</v>
      </c>
      <c r="F33" s="1" t="s">
        <v>4</v>
      </c>
      <c r="G33" s="1" t="s">
        <v>27</v>
      </c>
      <c r="H33" s="1" t="s">
        <v>176</v>
      </c>
      <c r="I33" s="1" t="s">
        <v>5</v>
      </c>
      <c r="J33" s="1" t="s">
        <v>9</v>
      </c>
      <c r="K33" s="4">
        <v>2</v>
      </c>
      <c r="L33" s="1">
        <v>126266.89224239365</v>
      </c>
      <c r="M33" s="1" t="s">
        <v>154</v>
      </c>
      <c r="N33" s="1">
        <v>4</v>
      </c>
      <c r="O33" s="1">
        <v>2</v>
      </c>
      <c r="P33" s="1">
        <v>1</v>
      </c>
      <c r="Q33" s="0" t="str">
        <f>VLOOKUP(C33,JobCode[[Job code]:[Positions]],2,FALSE)</f>
        <v>CIO</v>
      </c>
      <c r="R33" s="18">
        <f>IF(VLOOKUP(C33,JobCode[],4,FALSE)=0,0,(VLOOKUP(C33,JobCode[],4,FALSE)/100*L33))</f>
        <v>12626.689224239366</v>
      </c>
      <c r="S33" s="23">
        <f>VLOOKUP(H33,HealthPlanRates[],2,FALSE)*12</f>
        <v>31200</v>
      </c>
      <c r="T33" s="18">
        <f>L33+S33</f>
        <v>157466.89224239363</v>
      </c>
    </row>
    <row r="34">
      <c r="A34" s="1">
        <v>33</v>
      </c>
      <c r="B34" s="1" t="s">
        <v>54</v>
      </c>
      <c r="C34" s="1">
        <v>7020</v>
      </c>
      <c r="D34" s="5">
        <v>40441</v>
      </c>
      <c r="E34" s="5">
        <v>30891</v>
      </c>
      <c r="F34" s="1" t="s">
        <v>4</v>
      </c>
      <c r="G34" s="1" t="s">
        <v>27</v>
      </c>
      <c r="H34" s="1" t="s">
        <v>175</v>
      </c>
      <c r="I34" s="1" t="s">
        <v>5</v>
      </c>
      <c r="J34" s="1" t="s">
        <v>9</v>
      </c>
      <c r="K34" s="4">
        <v>5</v>
      </c>
      <c r="L34" s="1">
        <v>118280.49315493641</v>
      </c>
      <c r="M34" s="1" t="s">
        <v>154</v>
      </c>
      <c r="N34" s="1">
        <v>10</v>
      </c>
      <c r="O34" s="1">
        <v>1</v>
      </c>
      <c r="P34" s="1">
        <v>2</v>
      </c>
      <c r="Q34" s="0" t="str">
        <f>VLOOKUP(C34,JobCode[[Job code]:[Positions]],2,FALSE)</f>
        <v>HR Manager</v>
      </c>
      <c r="R34" s="18">
        <f>IF(VLOOKUP(C34,JobCode[],4,FALSE)=0,0,(VLOOKUP(C34,JobCode[],4,FALSE)/100*L34))</f>
        <v>5914.024657746821</v>
      </c>
      <c r="S34" s="23">
        <f>VLOOKUP(H34,HealthPlanRates[],2,FALSE)*12</f>
        <v>12600</v>
      </c>
      <c r="T34" s="18">
        <f>L34+S34</f>
        <v>130880.49315493641</v>
      </c>
    </row>
    <row r="35">
      <c r="A35" s="1">
        <v>34</v>
      </c>
      <c r="B35" s="1" t="s">
        <v>114</v>
      </c>
      <c r="C35" s="1">
        <v>1020</v>
      </c>
      <c r="D35" s="5">
        <v>38781</v>
      </c>
      <c r="E35" s="5">
        <v>33457</v>
      </c>
      <c r="F35" s="1" t="s">
        <v>4</v>
      </c>
      <c r="G35" s="1" t="s">
        <v>25</v>
      </c>
      <c r="H35" s="1" t="s">
        <v>175</v>
      </c>
      <c r="I35" s="1" t="s">
        <v>5</v>
      </c>
      <c r="J35" s="1" t="s">
        <v>6</v>
      </c>
      <c r="K35" s="4">
        <v>9</v>
      </c>
      <c r="L35" s="1">
        <v>101260.43049994462</v>
      </c>
      <c r="M35" s="1" t="s">
        <v>155</v>
      </c>
      <c r="N35" s="1">
        <v>10</v>
      </c>
      <c r="O35" s="1">
        <v>3</v>
      </c>
      <c r="P35" s="1">
        <v>1</v>
      </c>
      <c r="Q35" s="0" t="str">
        <f>VLOOKUP(C35,JobCode[[Job code]:[Positions]],2,FALSE)</f>
        <v>COO</v>
      </c>
      <c r="R35" s="18">
        <f>IF(VLOOKUP(C35,JobCode[],4,FALSE)=0,0,(VLOOKUP(C35,JobCode[],4,FALSE)/100*L35))</f>
        <v>10126.043049994463</v>
      </c>
      <c r="S35" s="23">
        <f>VLOOKUP(H35,HealthPlanRates[],2,FALSE)*12</f>
        <v>12600</v>
      </c>
      <c r="T35" s="18">
        <f>L35+S35</f>
        <v>113860.43049994462</v>
      </c>
    </row>
    <row r="36">
      <c r="A36" s="1">
        <v>35</v>
      </c>
      <c r="B36" s="1" t="s">
        <v>66</v>
      </c>
      <c r="C36" s="1">
        <v>9030</v>
      </c>
      <c r="D36" s="5">
        <v>39305</v>
      </c>
      <c r="E36" s="5">
        <v>23754</v>
      </c>
      <c r="F36" s="1" t="s">
        <v>4</v>
      </c>
      <c r="G36" s="1" t="s">
        <v>26</v>
      </c>
      <c r="H36" s="1" t="s">
        <v>174</v>
      </c>
      <c r="I36" s="1" t="s">
        <v>8</v>
      </c>
      <c r="J36" s="1" t="s">
        <v>6</v>
      </c>
      <c r="K36" s="4">
        <v>8</v>
      </c>
      <c r="L36" s="1">
        <v>156612.28722942196</v>
      </c>
      <c r="M36" s="1" t="s">
        <v>154</v>
      </c>
      <c r="N36" s="1">
        <v>10</v>
      </c>
      <c r="O36" s="1">
        <v>3</v>
      </c>
      <c r="P36" s="1">
        <v>4</v>
      </c>
      <c r="Q36" s="0" t="str">
        <f>VLOOKUP(C36,JobCode[[Job code]:[Positions]],2,FALSE)</f>
        <v>General Manager</v>
      </c>
      <c r="R36" s="18">
        <f>IF(VLOOKUP(C36,JobCode[],4,FALSE)=0,0,(VLOOKUP(C36,JobCode[],4,FALSE)/100*L36))</f>
        <v>31322.457445884393</v>
      </c>
      <c r="S36" s="23">
        <f>VLOOKUP(H36,HealthPlanRates[],2,FALSE)*12</f>
        <v>25800</v>
      </c>
      <c r="T36" s="18">
        <f>L36+S36</f>
        <v>182412.28722942196</v>
      </c>
    </row>
    <row r="37">
      <c r="A37" s="1">
        <v>36</v>
      </c>
      <c r="B37" s="1" t="s">
        <v>60</v>
      </c>
      <c r="C37" s="1">
        <v>2001</v>
      </c>
      <c r="D37" s="5">
        <v>39087</v>
      </c>
      <c r="E37" s="5">
        <v>30098</v>
      </c>
      <c r="F37" s="1" t="s">
        <v>7</v>
      </c>
      <c r="G37" s="1" t="s">
        <v>25</v>
      </c>
      <c r="H37" s="1" t="s">
        <v>178</v>
      </c>
      <c r="I37" s="1" t="s">
        <v>5</v>
      </c>
      <c r="J37" s="1" t="s">
        <v>6</v>
      </c>
      <c r="K37" s="4">
        <v>8</v>
      </c>
      <c r="L37" s="1">
        <v>30138.64972936822</v>
      </c>
      <c r="M37" s="1" t="s">
        <v>156</v>
      </c>
      <c r="N37" s="1">
        <v>10</v>
      </c>
      <c r="O37" s="1">
        <v>2</v>
      </c>
      <c r="P37" s="1">
        <v>3</v>
      </c>
      <c r="Q37" s="0" t="str">
        <f>VLOOKUP(C37,JobCode[[Job code]:[Positions]],2,FALSE)</f>
        <v>Accts Payable</v>
      </c>
      <c r="R37" s="18">
        <f>IF(VLOOKUP(C37,JobCode[],4,FALSE)=0,0,(VLOOKUP(C37,JobCode[],4,FALSE)/100*L37))</f>
        <v>0</v>
      </c>
      <c r="S37" s="23">
        <f>VLOOKUP(H37,HealthPlanRates[],2,FALSE)*12</f>
        <v>0</v>
      </c>
      <c r="T37" s="18">
        <f>L37+S37</f>
        <v>30138.64972936822</v>
      </c>
    </row>
    <row r="38">
      <c r="A38" s="1">
        <v>37</v>
      </c>
      <c r="B38" s="1" t="s">
        <v>11</v>
      </c>
      <c r="C38" s="1">
        <v>1004</v>
      </c>
      <c r="D38" s="5">
        <v>40123</v>
      </c>
      <c r="E38" s="5">
        <v>23003</v>
      </c>
      <c r="F38" s="1" t="s">
        <v>7</v>
      </c>
      <c r="G38" s="1" t="s">
        <v>27</v>
      </c>
      <c r="H38" s="1" t="s">
        <v>174</v>
      </c>
      <c r="I38" s="1" t="s">
        <v>5</v>
      </c>
      <c r="J38" s="1" t="s">
        <v>9</v>
      </c>
      <c r="K38" s="4">
        <v>6</v>
      </c>
      <c r="L38" s="1">
        <v>46344.501156743965</v>
      </c>
      <c r="M38" s="1" t="s">
        <v>155</v>
      </c>
      <c r="N38" s="1">
        <v>11</v>
      </c>
      <c r="O38" s="1">
        <v>3</v>
      </c>
      <c r="P38" s="1">
        <v>3</v>
      </c>
      <c r="Q38" s="0" t="str">
        <f>VLOOKUP(C38,JobCode[[Job code]:[Positions]],2,FALSE)</f>
        <v>Inspector</v>
      </c>
      <c r="R38" s="18">
        <f>IF(VLOOKUP(C38,JobCode[],4,FALSE)=0,0,(VLOOKUP(C38,JobCode[],4,FALSE)/100*L38))</f>
        <v>0</v>
      </c>
      <c r="S38" s="23">
        <f>VLOOKUP(H38,HealthPlanRates[],2,FALSE)*12</f>
        <v>25800</v>
      </c>
      <c r="T38" s="18">
        <f>L38+S38</f>
        <v>72144.50115674397</v>
      </c>
    </row>
    <row r="39">
      <c r="A39" s="1">
        <v>38</v>
      </c>
      <c r="B39" s="1" t="s">
        <v>64</v>
      </c>
      <c r="C39" s="1">
        <v>1012</v>
      </c>
      <c r="D39" s="5">
        <v>40749</v>
      </c>
      <c r="E39" s="5">
        <v>25749</v>
      </c>
      <c r="F39" s="1" t="s">
        <v>7</v>
      </c>
      <c r="G39" s="1" t="s">
        <v>152</v>
      </c>
      <c r="H39" s="1" t="s">
        <v>178</v>
      </c>
      <c r="I39" s="1" t="s">
        <v>5</v>
      </c>
      <c r="J39" s="1" t="s">
        <v>6</v>
      </c>
      <c r="K39" s="4">
        <v>4</v>
      </c>
      <c r="L39" s="1">
        <v>75636.68115345923</v>
      </c>
      <c r="M39" s="1" t="s">
        <v>153</v>
      </c>
      <c r="N39" s="1">
        <v>9</v>
      </c>
      <c r="O39" s="1">
        <v>2</v>
      </c>
      <c r="P39" s="1">
        <v>4</v>
      </c>
      <c r="Q39" s="0" t="str">
        <f>VLOOKUP(C39,JobCode[[Job code]:[Positions]],2,FALSE)</f>
        <v>Receiver</v>
      </c>
      <c r="R39" s="18">
        <f>IF(VLOOKUP(C39,JobCode[],4,FALSE)=0,0,(VLOOKUP(C39,JobCode[],4,FALSE)/100*L39))</f>
        <v>0</v>
      </c>
      <c r="S39" s="23">
        <f>VLOOKUP(H39,HealthPlanRates[],2,FALSE)*12</f>
        <v>0</v>
      </c>
      <c r="T39" s="18">
        <f>L39+S39</f>
        <v>75636.68115345923</v>
      </c>
    </row>
    <row r="40">
      <c r="A40" s="1">
        <v>39</v>
      </c>
      <c r="B40" s="1" t="s">
        <v>95</v>
      </c>
      <c r="C40" s="1">
        <v>1020</v>
      </c>
      <c r="D40" s="5">
        <v>40714</v>
      </c>
      <c r="E40" s="5">
        <v>27001</v>
      </c>
      <c r="F40" s="1" t="s">
        <v>4</v>
      </c>
      <c r="G40" s="1" t="s">
        <v>152</v>
      </c>
      <c r="H40" s="1" t="s">
        <v>175</v>
      </c>
      <c r="I40" s="1" t="s">
        <v>5</v>
      </c>
      <c r="J40" s="1" t="s">
        <v>6</v>
      </c>
      <c r="K40" s="4">
        <v>4</v>
      </c>
      <c r="L40" s="1">
        <v>98415.19850774154</v>
      </c>
      <c r="M40" s="1" t="s">
        <v>153</v>
      </c>
      <c r="N40" s="1">
        <v>9</v>
      </c>
      <c r="O40" s="1">
        <v>3</v>
      </c>
      <c r="P40" s="1">
        <v>5</v>
      </c>
      <c r="Q40" s="0" t="str">
        <f>VLOOKUP(C40,JobCode[[Job code]:[Positions]],2,FALSE)</f>
        <v>COO</v>
      </c>
      <c r="R40" s="18">
        <f>IF(VLOOKUP(C40,JobCode[],4,FALSE)=0,0,(VLOOKUP(C40,JobCode[],4,FALSE)/100*L40))</f>
        <v>9841.519850774155</v>
      </c>
      <c r="S40" s="23">
        <f>VLOOKUP(H40,HealthPlanRates[],2,FALSE)*12</f>
        <v>12600</v>
      </c>
      <c r="T40" s="18">
        <f>L40+S40</f>
        <v>111015.19850774154</v>
      </c>
    </row>
    <row r="41">
      <c r="A41" s="1">
        <v>40</v>
      </c>
      <c r="B41" s="1" t="s">
        <v>90</v>
      </c>
      <c r="C41" s="1">
        <v>6013</v>
      </c>
      <c r="D41" s="5">
        <v>40317</v>
      </c>
      <c r="E41" s="5">
        <v>24253</v>
      </c>
      <c r="F41" s="1" t="s">
        <v>4</v>
      </c>
      <c r="G41" s="1" t="s">
        <v>27</v>
      </c>
      <c r="H41" s="1" t="s">
        <v>176</v>
      </c>
      <c r="I41" s="1" t="s">
        <v>5</v>
      </c>
      <c r="J41" s="1" t="s">
        <v>9</v>
      </c>
      <c r="K41" s="4">
        <v>5</v>
      </c>
      <c r="L41" s="1">
        <v>97547.92444176812</v>
      </c>
      <c r="M41" s="1" t="s">
        <v>153</v>
      </c>
      <c r="N41" s="1">
        <v>8</v>
      </c>
      <c r="O41" s="1">
        <v>3</v>
      </c>
      <c r="P41" s="1">
        <v>4</v>
      </c>
      <c r="Q41" s="0" t="str">
        <f>VLOOKUP(C41,JobCode[[Job code]:[Positions]],2,FALSE)</f>
        <v>Purchasing Manager</v>
      </c>
      <c r="R41" s="18">
        <f>IF(VLOOKUP(C41,JobCode[],4,FALSE)=0,0,(VLOOKUP(C41,JobCode[],4,FALSE)/100*L41))</f>
        <v>4877.396222088406</v>
      </c>
      <c r="S41" s="23">
        <f>VLOOKUP(H41,HealthPlanRates[],2,FALSE)*12</f>
        <v>31200</v>
      </c>
      <c r="T41" s="18">
        <f>L41+S41</f>
        <v>128747.92444176812</v>
      </c>
    </row>
    <row r="42">
      <c r="A42" s="1">
        <v>41</v>
      </c>
      <c r="B42" s="1" t="s">
        <v>81</v>
      </c>
      <c r="C42" s="1">
        <v>1010</v>
      </c>
      <c r="D42" s="5">
        <v>39132</v>
      </c>
      <c r="E42" s="5">
        <v>33330</v>
      </c>
      <c r="F42" s="1" t="s">
        <v>7</v>
      </c>
      <c r="G42" s="1" t="s">
        <v>152</v>
      </c>
      <c r="H42" s="1" t="s">
        <v>174</v>
      </c>
      <c r="I42" s="1" t="s">
        <v>5</v>
      </c>
      <c r="J42" s="1" t="s">
        <v>6</v>
      </c>
      <c r="K42" s="4">
        <v>8</v>
      </c>
      <c r="L42" s="1">
        <v>23607.46232242519</v>
      </c>
      <c r="M42" s="1" t="s">
        <v>156</v>
      </c>
      <c r="N42" s="1">
        <v>10</v>
      </c>
      <c r="O42" s="1">
        <v>2</v>
      </c>
      <c r="P42" s="1">
        <v>4</v>
      </c>
      <c r="Q42" s="0" t="str">
        <f>VLOOKUP(C42,JobCode[[Job code]:[Positions]],2,FALSE)</f>
        <v>Packer</v>
      </c>
      <c r="R42" s="18">
        <f>IF(VLOOKUP(C42,JobCode[],4,FALSE)=0,0,(VLOOKUP(C42,JobCode[],4,FALSE)/100*L42))</f>
        <v>0</v>
      </c>
      <c r="S42" s="23">
        <f>VLOOKUP(H42,HealthPlanRates[],2,FALSE)*12</f>
        <v>25800</v>
      </c>
      <c r="T42" s="18">
        <f>L42+S42</f>
        <v>49407.46232242519</v>
      </c>
    </row>
    <row r="43">
      <c r="A43" s="1">
        <v>42</v>
      </c>
      <c r="B43" s="1" t="s">
        <v>71</v>
      </c>
      <c r="C43" s="1">
        <v>2001</v>
      </c>
      <c r="D43" s="5">
        <v>41181</v>
      </c>
      <c r="E43" s="5">
        <v>30873</v>
      </c>
      <c r="F43" s="1" t="s">
        <v>7</v>
      </c>
      <c r="G43" s="1" t="s">
        <v>25</v>
      </c>
      <c r="H43" s="1" t="s">
        <v>176</v>
      </c>
      <c r="I43" s="1" t="s">
        <v>5</v>
      </c>
      <c r="J43" s="1" t="s">
        <v>6</v>
      </c>
      <c r="K43" s="4">
        <v>3</v>
      </c>
      <c r="L43" s="1">
        <v>28549.21142283476</v>
      </c>
      <c r="M43" s="1" t="s">
        <v>156</v>
      </c>
      <c r="N43" s="1">
        <v>7</v>
      </c>
      <c r="O43" s="1">
        <v>2</v>
      </c>
      <c r="P43" s="1">
        <v>5</v>
      </c>
      <c r="Q43" s="0" t="str">
        <f>VLOOKUP(C43,JobCode[[Job code]:[Positions]],2,FALSE)</f>
        <v>Accts Payable</v>
      </c>
      <c r="R43" s="18">
        <f>IF(VLOOKUP(C43,JobCode[],4,FALSE)=0,0,(VLOOKUP(C43,JobCode[],4,FALSE)/100*L43))</f>
        <v>0</v>
      </c>
      <c r="S43" s="23">
        <f>VLOOKUP(H43,HealthPlanRates[],2,FALSE)*12</f>
        <v>31200</v>
      </c>
      <c r="T43" s="18">
        <f>L43+S43</f>
        <v>59749.211422834764</v>
      </c>
    </row>
    <row r="44">
      <c r="A44" s="1">
        <v>43</v>
      </c>
      <c r="B44" s="1" t="s">
        <v>68</v>
      </c>
      <c r="C44" s="1">
        <v>1010</v>
      </c>
      <c r="D44" s="5">
        <v>43345</v>
      </c>
      <c r="E44" s="5">
        <v>29849</v>
      </c>
      <c r="F44" s="1" t="s">
        <v>7</v>
      </c>
      <c r="G44" s="1" t="s">
        <v>27</v>
      </c>
      <c r="H44" s="1" t="s">
        <v>176</v>
      </c>
      <c r="I44" s="1" t="s">
        <v>5</v>
      </c>
      <c r="J44" s="1" t="s">
        <v>9</v>
      </c>
      <c r="K44" s="4">
        <v>1</v>
      </c>
      <c r="L44" s="1">
        <v>23070.376401873007</v>
      </c>
      <c r="M44" s="1" t="s">
        <v>156</v>
      </c>
      <c r="N44" s="1">
        <v>2</v>
      </c>
      <c r="O44" s="1">
        <v>1</v>
      </c>
      <c r="P44" s="1">
        <v>4</v>
      </c>
      <c r="Q44" s="0" t="str">
        <f>VLOOKUP(C44,JobCode[[Job code]:[Positions]],2,FALSE)</f>
        <v>Packer</v>
      </c>
      <c r="R44" s="18">
        <f>IF(VLOOKUP(C44,JobCode[],4,FALSE)=0,0,(VLOOKUP(C44,JobCode[],4,FALSE)/100*L44))</f>
        <v>0</v>
      </c>
      <c r="S44" s="23">
        <f>VLOOKUP(H44,HealthPlanRates[],2,FALSE)*12</f>
        <v>31200</v>
      </c>
      <c r="T44" s="18">
        <f>L44+S44</f>
        <v>54270.37640187301</v>
      </c>
    </row>
    <row r="45">
      <c r="A45" s="1">
        <v>44</v>
      </c>
      <c r="B45" s="1" t="s">
        <v>76</v>
      </c>
      <c r="C45" s="1">
        <v>3002</v>
      </c>
      <c r="D45" s="5">
        <v>43188</v>
      </c>
      <c r="E45" s="5">
        <v>27947</v>
      </c>
      <c r="F45" s="1" t="s">
        <v>7</v>
      </c>
      <c r="G45" s="1" t="s">
        <v>25</v>
      </c>
      <c r="H45" s="1" t="s">
        <v>178</v>
      </c>
      <c r="I45" s="1" t="s">
        <v>5</v>
      </c>
      <c r="J45" s="1" t="s">
        <v>9</v>
      </c>
      <c r="K45" s="4">
        <v>1</v>
      </c>
      <c r="L45" s="1">
        <v>47557.86803435099</v>
      </c>
      <c r="M45" s="1" t="s">
        <v>155</v>
      </c>
      <c r="N45" s="1">
        <v>6</v>
      </c>
      <c r="O45" s="1">
        <v>1</v>
      </c>
      <c r="P45" s="1">
        <v>5</v>
      </c>
      <c r="Q45" s="0" t="str">
        <f>VLOOKUP(C45,JobCode[[Job code]:[Positions]],2,FALSE)</f>
        <v>Developer</v>
      </c>
      <c r="R45" s="18">
        <f>IF(VLOOKUP(C45,JobCode[],4,FALSE)=0,0,(VLOOKUP(C45,JobCode[],4,FALSE)/100*L45))</f>
        <v>0</v>
      </c>
      <c r="S45" s="23">
        <f>VLOOKUP(H45,HealthPlanRates[],2,FALSE)*12</f>
        <v>0</v>
      </c>
      <c r="T45" s="18">
        <f>L45+S45</f>
        <v>47557.86803435099</v>
      </c>
    </row>
    <row r="46">
      <c r="A46" s="1">
        <v>45</v>
      </c>
      <c r="B46" s="1" t="s">
        <v>86</v>
      </c>
      <c r="C46" s="1">
        <v>1013</v>
      </c>
      <c r="D46" s="5">
        <v>38990</v>
      </c>
      <c r="E46" s="5">
        <v>31922</v>
      </c>
      <c r="F46" s="1" t="s">
        <v>4</v>
      </c>
      <c r="G46" s="1" t="s">
        <v>25</v>
      </c>
      <c r="H46" s="1" t="s">
        <v>174</v>
      </c>
      <c r="I46" s="1" t="s">
        <v>5</v>
      </c>
      <c r="J46" s="1" t="s">
        <v>6</v>
      </c>
      <c r="K46" s="4">
        <v>9</v>
      </c>
      <c r="L46" s="1">
        <v>74809.28494429884</v>
      </c>
      <c r="M46" s="1" t="s">
        <v>153</v>
      </c>
      <c r="N46" s="1">
        <v>14</v>
      </c>
      <c r="O46" s="1">
        <v>2</v>
      </c>
      <c r="P46" s="1">
        <v>4</v>
      </c>
      <c r="Q46" s="0" t="str">
        <f>VLOOKUP(C46,JobCode[[Job code]:[Positions]],2,FALSE)</f>
        <v>Supervisor</v>
      </c>
      <c r="R46" s="18">
        <f>IF(VLOOKUP(C46,JobCode[],4,FALSE)=0,0,(VLOOKUP(C46,JobCode[],4,FALSE)/100*L46))</f>
        <v>2244.278548328965</v>
      </c>
      <c r="S46" s="23">
        <f>VLOOKUP(H46,HealthPlanRates[],2,FALSE)*12</f>
        <v>25800</v>
      </c>
      <c r="T46" s="18">
        <f>L46+S46</f>
        <v>100609.28494429884</v>
      </c>
    </row>
    <row r="47">
      <c r="A47" s="1">
        <v>46</v>
      </c>
      <c r="B47" s="1" t="s">
        <v>37</v>
      </c>
      <c r="C47" s="1">
        <v>5013</v>
      </c>
      <c r="D47" s="5">
        <v>41455</v>
      </c>
      <c r="E47" s="5">
        <v>30290</v>
      </c>
      <c r="F47" s="1" t="s">
        <v>4</v>
      </c>
      <c r="G47" s="1" t="s">
        <v>27</v>
      </c>
      <c r="H47" s="1" t="s">
        <v>177</v>
      </c>
      <c r="I47" s="1" t="s">
        <v>5</v>
      </c>
      <c r="J47" s="1" t="s">
        <v>9</v>
      </c>
      <c r="K47" s="4">
        <v>2</v>
      </c>
      <c r="L47" s="1">
        <v>70624.08381795665</v>
      </c>
      <c r="M47" s="1" t="s">
        <v>153</v>
      </c>
      <c r="N47" s="1">
        <v>7</v>
      </c>
      <c r="O47" s="1">
        <v>2</v>
      </c>
      <c r="P47" s="1">
        <v>5</v>
      </c>
      <c r="Q47" s="0" t="str">
        <f>VLOOKUP(C47,JobCode[[Job code]:[Positions]],2,FALSE)</f>
        <v>Marketing Manager</v>
      </c>
      <c r="R47" s="18">
        <f>IF(VLOOKUP(C47,JobCode[],4,FALSE)=0,0,(VLOOKUP(C47,JobCode[],4,FALSE)/100*L47))</f>
        <v>3531.2041908978326</v>
      </c>
      <c r="S47" s="23">
        <f>VLOOKUP(H47,HealthPlanRates[],2,FALSE)*12</f>
        <v>16920</v>
      </c>
      <c r="T47" s="18">
        <f>L47+S47</f>
        <v>87544.08381795665</v>
      </c>
    </row>
    <row r="48">
      <c r="A48" s="1">
        <v>47</v>
      </c>
      <c r="B48" s="1" t="s">
        <v>113</v>
      </c>
      <c r="C48" s="1">
        <v>9030</v>
      </c>
      <c r="D48" s="5">
        <v>40186</v>
      </c>
      <c r="E48" s="5">
        <v>25644</v>
      </c>
      <c r="F48" s="1" t="s">
        <v>4</v>
      </c>
      <c r="G48" s="1" t="s">
        <v>25</v>
      </c>
      <c r="H48" s="1" t="s">
        <v>176</v>
      </c>
      <c r="I48" s="1" t="s">
        <v>5</v>
      </c>
      <c r="J48" s="1" t="s">
        <v>6</v>
      </c>
      <c r="K48" s="4">
        <v>5</v>
      </c>
      <c r="L48" s="1">
        <v>154335.043404532</v>
      </c>
      <c r="M48" s="1" t="s">
        <v>154</v>
      </c>
      <c r="N48" s="1">
        <v>6</v>
      </c>
      <c r="O48" s="1">
        <v>1</v>
      </c>
      <c r="P48" s="1">
        <v>5</v>
      </c>
      <c r="Q48" s="0" t="str">
        <f>VLOOKUP(C48,JobCode[[Job code]:[Positions]],2,FALSE)</f>
        <v>General Manager</v>
      </c>
      <c r="R48" s="18">
        <f>IF(VLOOKUP(C48,JobCode[],4,FALSE)=0,0,(VLOOKUP(C48,JobCode[],4,FALSE)/100*L48))</f>
        <v>30867.008680906405</v>
      </c>
      <c r="S48" s="23">
        <f>VLOOKUP(H48,HealthPlanRates[],2,FALSE)*12</f>
        <v>31200</v>
      </c>
      <c r="T48" s="18">
        <f>L48+S48</f>
        <v>185535.043404532</v>
      </c>
    </row>
    <row r="49">
      <c r="A49" s="1">
        <v>48</v>
      </c>
      <c r="B49" s="1" t="s">
        <v>29</v>
      </c>
      <c r="C49" s="1">
        <v>2004</v>
      </c>
      <c r="D49" s="5">
        <v>41448</v>
      </c>
      <c r="E49" s="5">
        <v>27934</v>
      </c>
      <c r="F49" s="1" t="s">
        <v>4</v>
      </c>
      <c r="G49" s="1" t="s">
        <v>25</v>
      </c>
      <c r="H49" s="1" t="s">
        <v>177</v>
      </c>
      <c r="I49" s="1" t="s">
        <v>5</v>
      </c>
      <c r="J49" s="1" t="s">
        <v>6</v>
      </c>
      <c r="K49" s="4">
        <v>2</v>
      </c>
      <c r="L49" s="1">
        <v>40118.31923036453</v>
      </c>
      <c r="M49" s="1" t="s">
        <v>155</v>
      </c>
      <c r="N49" s="1">
        <v>6</v>
      </c>
      <c r="O49" s="1">
        <v>3</v>
      </c>
      <c r="P49" s="1">
        <v>1</v>
      </c>
      <c r="Q49" s="0" t="str">
        <f>VLOOKUP(C49,JobCode[[Job code]:[Positions]],2,FALSE)</f>
        <v>Payroll</v>
      </c>
      <c r="R49" s="18">
        <f>IF(VLOOKUP(C49,JobCode[],4,FALSE)=0,0,(VLOOKUP(C49,JobCode[],4,FALSE)/100*L49))</f>
        <v>0</v>
      </c>
      <c r="S49" s="23">
        <f>VLOOKUP(H49,HealthPlanRates[],2,FALSE)*12</f>
        <v>16920</v>
      </c>
      <c r="T49" s="18">
        <f>L49+S49</f>
        <v>57038.31923036453</v>
      </c>
    </row>
    <row r="50">
      <c r="A50" s="1">
        <v>49</v>
      </c>
      <c r="B50" s="1" t="s">
        <v>39</v>
      </c>
      <c r="C50" s="1">
        <v>2013</v>
      </c>
      <c r="D50" s="5">
        <v>38797</v>
      </c>
      <c r="E50" s="5">
        <v>33504</v>
      </c>
      <c r="F50" s="1" t="s">
        <v>4</v>
      </c>
      <c r="G50" s="1" t="s">
        <v>26</v>
      </c>
      <c r="H50" s="1" t="s">
        <v>175</v>
      </c>
      <c r="I50" s="1" t="s">
        <v>5</v>
      </c>
      <c r="J50" s="1" t="s">
        <v>6</v>
      </c>
      <c r="K50" s="4">
        <v>9</v>
      </c>
      <c r="L50" s="1">
        <v>93401.21300517986</v>
      </c>
      <c r="M50" s="1" t="s">
        <v>153</v>
      </c>
      <c r="N50" s="1">
        <v>13</v>
      </c>
      <c r="O50" s="1">
        <v>1</v>
      </c>
      <c r="P50" s="1">
        <v>5</v>
      </c>
      <c r="Q50" s="0" t="str">
        <f>VLOOKUP(C50,JobCode[[Job code]:[Positions]],2,FALSE)</f>
        <v>Controller</v>
      </c>
      <c r="R50" s="18">
        <f>IF(VLOOKUP(C50,JobCode[],4,FALSE)=0,0,(VLOOKUP(C50,JobCode[],4,FALSE)/100*L50))</f>
        <v>4670.0606502589935</v>
      </c>
      <c r="S50" s="23">
        <f>VLOOKUP(H50,HealthPlanRates[],2,FALSE)*12</f>
        <v>12600</v>
      </c>
      <c r="T50" s="18">
        <f>L50+S50</f>
        <v>106001.21300517986</v>
      </c>
    </row>
    <row r="51">
      <c r="A51" s="1">
        <v>50</v>
      </c>
      <c r="B51" s="1" t="s">
        <v>40</v>
      </c>
      <c r="C51" s="1">
        <v>5013</v>
      </c>
      <c r="D51" s="5">
        <v>40523</v>
      </c>
      <c r="E51" s="5">
        <v>22788</v>
      </c>
      <c r="F51" s="1" t="s">
        <v>7</v>
      </c>
      <c r="G51" s="1" t="s">
        <v>25</v>
      </c>
      <c r="H51" s="1" t="s">
        <v>178</v>
      </c>
      <c r="I51" s="1" t="s">
        <v>5</v>
      </c>
      <c r="J51" s="1" t="s">
        <v>6</v>
      </c>
      <c r="K51" s="4">
        <v>5</v>
      </c>
      <c r="L51" s="1">
        <v>71797.78719637249</v>
      </c>
      <c r="M51" s="1" t="s">
        <v>153</v>
      </c>
      <c r="N51" s="1">
        <v>10</v>
      </c>
      <c r="O51" s="1">
        <v>3</v>
      </c>
      <c r="P51" s="1">
        <v>3</v>
      </c>
      <c r="Q51" s="0" t="str">
        <f>VLOOKUP(C51,JobCode[[Job code]:[Positions]],2,FALSE)</f>
        <v>Marketing Manager</v>
      </c>
      <c r="R51" s="18">
        <f>IF(VLOOKUP(C51,JobCode[],4,FALSE)=0,0,(VLOOKUP(C51,JobCode[],4,FALSE)/100*L51))</f>
        <v>3589.8893598186246</v>
      </c>
      <c r="S51" s="23">
        <f>VLOOKUP(H51,HealthPlanRates[],2,FALSE)*12</f>
        <v>0</v>
      </c>
      <c r="T51" s="18">
        <f>L51+S51</f>
        <v>71797.78719637249</v>
      </c>
    </row>
    <row r="52">
      <c r="A52" s="1">
        <v>51</v>
      </c>
      <c r="B52" s="1" t="s">
        <v>10</v>
      </c>
      <c r="C52" s="1">
        <v>2002</v>
      </c>
      <c r="D52" s="5">
        <v>43390</v>
      </c>
      <c r="E52" s="5">
        <v>31842</v>
      </c>
      <c r="F52" s="1" t="s">
        <v>4</v>
      </c>
      <c r="G52" s="1" t="s">
        <v>152</v>
      </c>
      <c r="H52" s="1" t="s">
        <v>175</v>
      </c>
      <c r="I52" s="1" t="s">
        <v>5</v>
      </c>
      <c r="J52" s="1" t="s">
        <v>6</v>
      </c>
      <c r="K52" s="4">
        <v>1</v>
      </c>
      <c r="L52" s="1">
        <v>34868.48291071913</v>
      </c>
      <c r="M52" s="1" t="s">
        <v>156</v>
      </c>
      <c r="N52" s="1">
        <v>4</v>
      </c>
      <c r="O52" s="1">
        <v>1</v>
      </c>
      <c r="P52" s="1">
        <v>4</v>
      </c>
      <c r="Q52" s="0" t="str">
        <f>VLOOKUP(C52,JobCode[[Job code]:[Positions]],2,FALSE)</f>
        <v>Accts Receivable</v>
      </c>
      <c r="R52" s="18">
        <f>IF(VLOOKUP(C52,JobCode[],4,FALSE)=0,0,(VLOOKUP(C52,JobCode[],4,FALSE)/100*L52))</f>
        <v>0</v>
      </c>
      <c r="S52" s="23">
        <f>VLOOKUP(H52,HealthPlanRates[],2,FALSE)*12</f>
        <v>12600</v>
      </c>
      <c r="T52" s="18">
        <f>L52+S52</f>
        <v>47468.48291071913</v>
      </c>
    </row>
    <row r="53">
      <c r="A53" s="1">
        <v>52</v>
      </c>
      <c r="B53" s="1" t="s">
        <v>117</v>
      </c>
      <c r="C53" s="1">
        <v>1004</v>
      </c>
      <c r="D53" s="5">
        <v>40381</v>
      </c>
      <c r="E53" s="5">
        <v>33744</v>
      </c>
      <c r="F53" s="1" t="s">
        <v>7</v>
      </c>
      <c r="G53" s="1" t="s">
        <v>25</v>
      </c>
      <c r="H53" s="1" t="s">
        <v>177</v>
      </c>
      <c r="I53" s="1" t="s">
        <v>5</v>
      </c>
      <c r="J53" s="1" t="s">
        <v>6</v>
      </c>
      <c r="K53" s="4">
        <v>1</v>
      </c>
      <c r="L53" s="1">
        <v>45221.573380461916</v>
      </c>
      <c r="M53" s="1" t="s">
        <v>155</v>
      </c>
      <c r="N53" s="1">
        <v>8</v>
      </c>
      <c r="O53" s="1">
        <v>3</v>
      </c>
      <c r="P53" s="1">
        <v>1</v>
      </c>
      <c r="Q53" s="0" t="str">
        <f>VLOOKUP(C53,JobCode[[Job code]:[Positions]],2,FALSE)</f>
        <v>Inspector</v>
      </c>
      <c r="R53" s="18">
        <f>IF(VLOOKUP(C53,JobCode[],4,FALSE)=0,0,(VLOOKUP(C53,JobCode[],4,FALSE)/100*L53))</f>
        <v>0</v>
      </c>
      <c r="S53" s="23">
        <f>VLOOKUP(H53,HealthPlanRates[],2,FALSE)*12</f>
        <v>16920</v>
      </c>
      <c r="T53" s="18">
        <f>L53+S53</f>
        <v>62141.573380461916</v>
      </c>
    </row>
    <row r="54">
      <c r="A54" s="1">
        <v>53</v>
      </c>
      <c r="B54" s="1" t="s">
        <v>56</v>
      </c>
      <c r="C54" s="1">
        <v>2001</v>
      </c>
      <c r="D54" s="5">
        <v>41264</v>
      </c>
      <c r="E54" s="5">
        <v>33029</v>
      </c>
      <c r="F54" s="1" t="s">
        <v>7</v>
      </c>
      <c r="G54" s="1" t="s">
        <v>27</v>
      </c>
      <c r="H54" s="1" t="s">
        <v>174</v>
      </c>
      <c r="I54" s="1" t="s">
        <v>5</v>
      </c>
      <c r="J54" s="1" t="s">
        <v>9</v>
      </c>
      <c r="K54" s="4">
        <v>3</v>
      </c>
      <c r="L54" s="1">
        <v>31097.771473623216</v>
      </c>
      <c r="M54" s="1" t="s">
        <v>156</v>
      </c>
      <c r="N54" s="1">
        <v>5</v>
      </c>
      <c r="O54" s="1">
        <v>3</v>
      </c>
      <c r="P54" s="1">
        <v>5</v>
      </c>
      <c r="Q54" s="0" t="str">
        <f>VLOOKUP(C54,JobCode[[Job code]:[Positions]],2,FALSE)</f>
        <v>Accts Payable</v>
      </c>
      <c r="R54" s="18">
        <f>IF(VLOOKUP(C54,JobCode[],4,FALSE)=0,0,(VLOOKUP(C54,JobCode[],4,FALSE)/100*L54))</f>
        <v>0</v>
      </c>
      <c r="S54" s="23">
        <f>VLOOKUP(H54,HealthPlanRates[],2,FALSE)*12</f>
        <v>25800</v>
      </c>
      <c r="T54" s="18">
        <f>L54+S54</f>
        <v>56897.771473623216</v>
      </c>
    </row>
    <row r="55">
      <c r="A55" s="1">
        <v>54</v>
      </c>
      <c r="B55" s="1" t="s">
        <v>97</v>
      </c>
      <c r="C55" s="1">
        <v>2002</v>
      </c>
      <c r="D55" s="5">
        <v>40688</v>
      </c>
      <c r="E55" s="5">
        <v>28414</v>
      </c>
      <c r="F55" s="1" t="s">
        <v>4</v>
      </c>
      <c r="G55" s="1" t="s">
        <v>25</v>
      </c>
      <c r="H55" s="1" t="s">
        <v>175</v>
      </c>
      <c r="I55" s="1" t="s">
        <v>5</v>
      </c>
      <c r="J55" s="1" t="s">
        <v>6</v>
      </c>
      <c r="K55" s="4">
        <v>4</v>
      </c>
      <c r="L55" s="1">
        <v>37192.312687897866</v>
      </c>
      <c r="M55" s="1" t="s">
        <v>157</v>
      </c>
      <c r="N55" s="1">
        <v>6</v>
      </c>
      <c r="O55" s="1">
        <v>1</v>
      </c>
      <c r="P55" s="1">
        <v>4</v>
      </c>
      <c r="Q55" s="0" t="str">
        <f>VLOOKUP(C55,JobCode[[Job code]:[Positions]],2,FALSE)</f>
        <v>Accts Receivable</v>
      </c>
      <c r="R55" s="18">
        <f>IF(VLOOKUP(C55,JobCode[],4,FALSE)=0,0,(VLOOKUP(C55,JobCode[],4,FALSE)/100*L55))</f>
        <v>0</v>
      </c>
      <c r="S55" s="23">
        <f>VLOOKUP(H55,HealthPlanRates[],2,FALSE)*12</f>
        <v>12600</v>
      </c>
      <c r="T55" s="18">
        <f>L55+S55</f>
        <v>49792.312687897866</v>
      </c>
    </row>
    <row r="56">
      <c r="A56" s="1">
        <v>55</v>
      </c>
      <c r="B56" s="1" t="s">
        <v>41</v>
      </c>
      <c r="C56" s="1">
        <v>9030</v>
      </c>
      <c r="D56" s="5">
        <v>43329</v>
      </c>
      <c r="E56" s="5">
        <v>30217</v>
      </c>
      <c r="F56" s="1" t="s">
        <v>4</v>
      </c>
      <c r="G56" s="1" t="s">
        <v>27</v>
      </c>
      <c r="H56" s="1" t="s">
        <v>178</v>
      </c>
      <c r="I56" s="1" t="s">
        <v>5</v>
      </c>
      <c r="J56" s="1" t="s">
        <v>9</v>
      </c>
      <c r="K56" s="4">
        <v>1</v>
      </c>
      <c r="L56" s="1">
        <v>148831.19044898165</v>
      </c>
      <c r="M56" s="1" t="s">
        <v>154</v>
      </c>
      <c r="N56" s="1">
        <v>3</v>
      </c>
      <c r="O56" s="1">
        <v>3</v>
      </c>
      <c r="P56" s="1">
        <v>4</v>
      </c>
      <c r="Q56" s="0" t="str">
        <f>VLOOKUP(C56,JobCode[[Job code]:[Positions]],2,FALSE)</f>
        <v>General Manager</v>
      </c>
      <c r="R56" s="18">
        <f>IF(VLOOKUP(C56,JobCode[],4,FALSE)=0,0,(VLOOKUP(C56,JobCode[],4,FALSE)/100*L56))</f>
        <v>29766.23808979633</v>
      </c>
      <c r="S56" s="23">
        <f>VLOOKUP(H56,HealthPlanRates[],2,FALSE)*12</f>
        <v>0</v>
      </c>
      <c r="T56" s="18">
        <f>L56+S56</f>
        <v>148831.19044898165</v>
      </c>
    </row>
    <row r="57">
      <c r="A57" s="1">
        <v>56</v>
      </c>
      <c r="B57" s="1" t="s">
        <v>91</v>
      </c>
      <c r="C57" s="1">
        <v>1004</v>
      </c>
      <c r="D57" s="5">
        <v>38852</v>
      </c>
      <c r="E57" s="5">
        <v>24646</v>
      </c>
      <c r="F57" s="1" t="s">
        <v>4</v>
      </c>
      <c r="G57" s="1" t="s">
        <v>27</v>
      </c>
      <c r="H57" s="1" t="s">
        <v>175</v>
      </c>
      <c r="I57" s="1" t="s">
        <v>8</v>
      </c>
      <c r="J57" s="1" t="s">
        <v>9</v>
      </c>
      <c r="K57" s="4">
        <v>9</v>
      </c>
      <c r="L57" s="1">
        <v>49175.2888728112</v>
      </c>
      <c r="M57" s="1" t="s">
        <v>155</v>
      </c>
      <c r="N57" s="1">
        <v>10</v>
      </c>
      <c r="O57" s="1">
        <v>2</v>
      </c>
      <c r="P57" s="1">
        <v>2</v>
      </c>
      <c r="Q57" s="0" t="str">
        <f>VLOOKUP(C57,JobCode[[Job code]:[Positions]],2,FALSE)</f>
        <v>Inspector</v>
      </c>
      <c r="R57" s="18">
        <f>IF(VLOOKUP(C57,JobCode[],4,FALSE)=0,0,(VLOOKUP(C57,JobCode[],4,FALSE)/100*L57))</f>
        <v>0</v>
      </c>
      <c r="S57" s="23">
        <f>VLOOKUP(H57,HealthPlanRates[],2,FALSE)*12</f>
        <v>12600</v>
      </c>
      <c r="T57" s="18">
        <f>L57+S57</f>
        <v>61775.2888728112</v>
      </c>
    </row>
    <row r="58">
      <c r="A58" s="1">
        <v>57</v>
      </c>
      <c r="B58" s="1" t="s">
        <v>55</v>
      </c>
      <c r="C58" s="1">
        <v>1020</v>
      </c>
      <c r="D58" s="5">
        <v>40253</v>
      </c>
      <c r="E58" s="5">
        <v>23049</v>
      </c>
      <c r="F58" s="1" t="s">
        <v>4</v>
      </c>
      <c r="G58" s="1" t="s">
        <v>27</v>
      </c>
      <c r="H58" s="1" t="s">
        <v>176</v>
      </c>
      <c r="I58" s="1" t="s">
        <v>5</v>
      </c>
      <c r="J58" s="1" t="s">
        <v>9</v>
      </c>
      <c r="K58" s="4">
        <v>5</v>
      </c>
      <c r="L58" s="1">
        <v>106471.06474508632</v>
      </c>
      <c r="M58" s="1" t="s">
        <v>154</v>
      </c>
      <c r="N58" s="1">
        <v>7</v>
      </c>
      <c r="O58" s="1">
        <v>1</v>
      </c>
      <c r="P58" s="1">
        <v>1</v>
      </c>
      <c r="Q58" s="0" t="str">
        <f>VLOOKUP(C58,JobCode[[Job code]:[Positions]],2,FALSE)</f>
        <v>COO</v>
      </c>
      <c r="R58" s="18">
        <f>IF(VLOOKUP(C58,JobCode[],4,FALSE)=0,0,(VLOOKUP(C58,JobCode[],4,FALSE)/100*L58))</f>
        <v>10647.106474508633</v>
      </c>
      <c r="S58" s="23">
        <f>VLOOKUP(H58,HealthPlanRates[],2,FALSE)*12</f>
        <v>31200</v>
      </c>
      <c r="T58" s="18">
        <f>L58+S58</f>
        <v>137671.0647450863</v>
      </c>
    </row>
    <row r="59">
      <c r="A59" s="1">
        <v>58</v>
      </c>
      <c r="B59" s="1" t="s">
        <v>92</v>
      </c>
      <c r="C59" s="1">
        <v>7002</v>
      </c>
      <c r="D59" s="5">
        <v>40253</v>
      </c>
      <c r="E59" s="5">
        <v>24368</v>
      </c>
      <c r="F59" s="1" t="s">
        <v>4</v>
      </c>
      <c r="G59" s="1" t="s">
        <v>25</v>
      </c>
      <c r="H59" s="1" t="s">
        <v>177</v>
      </c>
      <c r="I59" s="1" t="s">
        <v>5</v>
      </c>
      <c r="J59" s="1" t="s">
        <v>6</v>
      </c>
      <c r="K59" s="4">
        <v>5</v>
      </c>
      <c r="L59" s="1">
        <v>69149.42658492515</v>
      </c>
      <c r="M59" s="1" t="s">
        <v>153</v>
      </c>
      <c r="N59" s="1">
        <v>6</v>
      </c>
      <c r="O59" s="1">
        <v>2</v>
      </c>
      <c r="P59" s="1">
        <v>2</v>
      </c>
      <c r="Q59" s="0" t="str">
        <f>VLOOKUP(C59,JobCode[[Job code]:[Positions]],2,FALSE)</f>
        <v>HR Analyst</v>
      </c>
      <c r="R59" s="18">
        <f>IF(VLOOKUP(C59,JobCode[],4,FALSE)=0,0,(VLOOKUP(C59,JobCode[],4,FALSE)/100*L59))</f>
        <v>0</v>
      </c>
      <c r="S59" s="23">
        <f>VLOOKUP(H59,HealthPlanRates[],2,FALSE)*12</f>
        <v>16920</v>
      </c>
      <c r="T59" s="18">
        <f>L59+S59</f>
        <v>86069.42658492515</v>
      </c>
    </row>
    <row r="60">
      <c r="A60" s="1">
        <v>59</v>
      </c>
      <c r="B60" s="1" t="s">
        <v>15</v>
      </c>
      <c r="C60" s="1">
        <v>3002</v>
      </c>
      <c r="D60" s="5">
        <v>40796</v>
      </c>
      <c r="E60" s="5">
        <v>25147</v>
      </c>
      <c r="F60" s="1" t="s">
        <v>4</v>
      </c>
      <c r="G60" s="1" t="s">
        <v>25</v>
      </c>
      <c r="H60" s="1" t="s">
        <v>178</v>
      </c>
      <c r="I60" s="1" t="s">
        <v>13</v>
      </c>
      <c r="J60" s="1" t="s">
        <v>6</v>
      </c>
      <c r="K60" s="4">
        <v>4</v>
      </c>
      <c r="L60" s="1">
        <v>112227.76159020104</v>
      </c>
      <c r="M60" s="1" t="s">
        <v>154</v>
      </c>
      <c r="N60" s="1">
        <v>7</v>
      </c>
      <c r="O60" s="1">
        <v>3</v>
      </c>
      <c r="P60" s="1">
        <v>1</v>
      </c>
      <c r="Q60" s="0" t="str">
        <f>VLOOKUP(C60,JobCode[[Job code]:[Positions]],2,FALSE)</f>
        <v>Developer</v>
      </c>
      <c r="R60" s="18">
        <f>IF(VLOOKUP(C60,JobCode[],4,FALSE)=0,0,(VLOOKUP(C60,JobCode[],4,FALSE)/100*L60))</f>
        <v>0</v>
      </c>
      <c r="S60" s="23">
        <f>VLOOKUP(H60,HealthPlanRates[],2,FALSE)*12</f>
        <v>0</v>
      </c>
      <c r="T60" s="18">
        <f>L60+S60</f>
        <v>112227.76159020104</v>
      </c>
    </row>
    <row r="61">
      <c r="A61" s="1">
        <v>60</v>
      </c>
      <c r="B61" s="1" t="s">
        <v>94</v>
      </c>
      <c r="C61" s="1">
        <v>6013</v>
      </c>
      <c r="D61" s="5">
        <v>41254</v>
      </c>
      <c r="E61" s="5">
        <v>24221</v>
      </c>
      <c r="F61" s="1" t="s">
        <v>4</v>
      </c>
      <c r="G61" s="1" t="s">
        <v>25</v>
      </c>
      <c r="H61" s="1" t="s">
        <v>176</v>
      </c>
      <c r="I61" s="1" t="s">
        <v>199</v>
      </c>
      <c r="J61" s="1" t="s">
        <v>6</v>
      </c>
      <c r="K61" s="4">
        <v>3</v>
      </c>
      <c r="L61" s="1">
        <v>95960.41857391449</v>
      </c>
      <c r="M61" s="1" t="s">
        <v>153</v>
      </c>
      <c r="N61" s="1">
        <v>8</v>
      </c>
      <c r="O61" s="1">
        <v>1</v>
      </c>
      <c r="P61" s="1">
        <v>1</v>
      </c>
      <c r="Q61" s="0" t="str">
        <f>VLOOKUP(C61,JobCode[[Job code]:[Positions]],2,FALSE)</f>
        <v>Purchasing Manager</v>
      </c>
      <c r="R61" s="18">
        <f>IF(VLOOKUP(C61,JobCode[],4,FALSE)=0,0,(VLOOKUP(C61,JobCode[],4,FALSE)/100*L61))</f>
        <v>4798.020928695724</v>
      </c>
      <c r="S61" s="23">
        <f>VLOOKUP(H61,HealthPlanRates[],2,FALSE)*12</f>
        <v>31200</v>
      </c>
      <c r="T61" s="18">
        <f>L61+S61</f>
        <v>127160.41857391449</v>
      </c>
    </row>
    <row r="62">
      <c r="A62" s="1">
        <v>61</v>
      </c>
      <c r="B62" s="1" t="s">
        <v>74</v>
      </c>
      <c r="C62" s="1">
        <v>1010</v>
      </c>
      <c r="D62" s="5">
        <v>38891</v>
      </c>
      <c r="E62" s="5">
        <v>25278</v>
      </c>
      <c r="F62" s="1" t="s">
        <v>7</v>
      </c>
      <c r="G62" s="1" t="s">
        <v>25</v>
      </c>
      <c r="H62" s="1" t="s">
        <v>174</v>
      </c>
      <c r="I62" s="1" t="s">
        <v>5</v>
      </c>
      <c r="J62" s="1" t="s">
        <v>6</v>
      </c>
      <c r="K62" s="4">
        <v>9</v>
      </c>
      <c r="L62" s="1">
        <v>34399.64883372924</v>
      </c>
      <c r="M62" s="1" t="s">
        <v>156</v>
      </c>
      <c r="N62" s="1">
        <v>13</v>
      </c>
      <c r="O62" s="1">
        <v>3</v>
      </c>
      <c r="P62" s="1">
        <v>5</v>
      </c>
      <c r="Q62" s="0" t="str">
        <f>VLOOKUP(C62,JobCode[[Job code]:[Positions]],2,FALSE)</f>
        <v>Packer</v>
      </c>
      <c r="R62" s="18">
        <f>IF(VLOOKUP(C62,JobCode[],4,FALSE)=0,0,(VLOOKUP(C62,JobCode[],4,FALSE)/100*L62))</f>
        <v>0</v>
      </c>
      <c r="S62" s="23">
        <f>VLOOKUP(H62,HealthPlanRates[],2,FALSE)*12</f>
        <v>25800</v>
      </c>
      <c r="T62" s="18">
        <f>L62+S62</f>
        <v>60199.64883372924</v>
      </c>
    </row>
    <row r="63">
      <c r="A63" s="1">
        <v>62</v>
      </c>
      <c r="B63" s="1" t="s">
        <v>47</v>
      </c>
      <c r="C63" s="1">
        <v>2001</v>
      </c>
      <c r="D63" s="5">
        <v>39000</v>
      </c>
      <c r="E63" s="5">
        <v>23764</v>
      </c>
      <c r="F63" s="1" t="s">
        <v>7</v>
      </c>
      <c r="G63" s="1" t="s">
        <v>27</v>
      </c>
      <c r="H63" s="1" t="s">
        <v>175</v>
      </c>
      <c r="I63" s="1" t="s">
        <v>5</v>
      </c>
      <c r="J63" s="1" t="s">
        <v>9</v>
      </c>
      <c r="K63" s="4">
        <v>9</v>
      </c>
      <c r="L63" s="1">
        <v>32126.17323144962</v>
      </c>
      <c r="M63" s="1" t="s">
        <v>156</v>
      </c>
      <c r="N63" s="1">
        <v>13</v>
      </c>
      <c r="O63" s="1">
        <v>1</v>
      </c>
      <c r="P63" s="1">
        <v>1</v>
      </c>
      <c r="Q63" s="0" t="str">
        <f>VLOOKUP(C63,JobCode[[Job code]:[Positions]],2,FALSE)</f>
        <v>Accts Payable</v>
      </c>
      <c r="R63" s="18">
        <f>IF(VLOOKUP(C63,JobCode[],4,FALSE)=0,0,(VLOOKUP(C63,JobCode[],4,FALSE)/100*L63))</f>
        <v>0</v>
      </c>
      <c r="S63" s="23">
        <f>VLOOKUP(H63,HealthPlanRates[],2,FALSE)*12</f>
        <v>12600</v>
      </c>
      <c r="T63" s="18">
        <f>L63+S63</f>
        <v>44726.17323144962</v>
      </c>
    </row>
    <row r="64">
      <c r="A64" s="1">
        <v>63</v>
      </c>
      <c r="B64" s="1" t="s">
        <v>35</v>
      </c>
      <c r="C64" s="1">
        <v>3004</v>
      </c>
      <c r="D64" s="5">
        <v>41449</v>
      </c>
      <c r="E64" s="5">
        <v>31909</v>
      </c>
      <c r="F64" s="1" t="s">
        <v>4</v>
      </c>
      <c r="G64" s="1" t="s">
        <v>25</v>
      </c>
      <c r="H64" s="1" t="s">
        <v>174</v>
      </c>
      <c r="I64" s="1" t="s">
        <v>5</v>
      </c>
      <c r="J64" s="1" t="s">
        <v>6</v>
      </c>
      <c r="K64" s="4">
        <v>4</v>
      </c>
      <c r="L64" s="1">
        <v>67164.56042880338</v>
      </c>
      <c r="M64" s="1" t="s">
        <v>153</v>
      </c>
      <c r="N64" s="1">
        <v>3</v>
      </c>
      <c r="O64" s="1">
        <v>3</v>
      </c>
      <c r="P64" s="1">
        <v>5</v>
      </c>
      <c r="Q64" s="0" t="str">
        <f>VLOOKUP(C64,JobCode[[Job code]:[Positions]],2,FALSE)</f>
        <v>Web Developer</v>
      </c>
      <c r="R64" s="18">
        <f>IF(VLOOKUP(C64,JobCode[],4,FALSE)=0,0,(VLOOKUP(C64,JobCode[],4,FALSE)/100*L64))</f>
        <v>0</v>
      </c>
      <c r="S64" s="23">
        <f>VLOOKUP(H64,HealthPlanRates[],2,FALSE)*12</f>
        <v>25800</v>
      </c>
      <c r="T64" s="18">
        <f>L64+S64</f>
        <v>92964.56042880338</v>
      </c>
    </row>
    <row r="65">
      <c r="A65" s="1">
        <v>64</v>
      </c>
      <c r="B65" s="1" t="s">
        <v>78</v>
      </c>
      <c r="C65" s="1">
        <v>1002</v>
      </c>
      <c r="D65" s="5">
        <v>40369</v>
      </c>
      <c r="E65" s="5">
        <v>29122</v>
      </c>
      <c r="F65" s="1" t="s">
        <v>7</v>
      </c>
      <c r="G65" s="1" t="s">
        <v>25</v>
      </c>
      <c r="H65" s="1" t="s">
        <v>178</v>
      </c>
      <c r="I65" s="1" t="s">
        <v>13</v>
      </c>
      <c r="J65" s="1" t="s">
        <v>6</v>
      </c>
      <c r="K65" s="4">
        <v>5</v>
      </c>
      <c r="L65" s="1">
        <v>25982.374661364927</v>
      </c>
      <c r="M65" s="1" t="s">
        <v>156</v>
      </c>
      <c r="N65" s="1">
        <v>9</v>
      </c>
      <c r="O65" s="1">
        <v>2</v>
      </c>
      <c r="P65" s="1">
        <v>1</v>
      </c>
      <c r="Q65" s="0" t="str">
        <f>VLOOKUP(C65,JobCode[[Job code]:[Positions]],2,FALSE)</f>
        <v>Assembler</v>
      </c>
      <c r="R65" s="18">
        <f>IF(VLOOKUP(C65,JobCode[],4,FALSE)=0,0,(VLOOKUP(C65,JobCode[],4,FALSE)/100*L65))</f>
        <v>0</v>
      </c>
      <c r="S65" s="23">
        <f>VLOOKUP(H65,HealthPlanRates[],2,FALSE)*12</f>
        <v>0</v>
      </c>
      <c r="T65" s="18">
        <f>L65+S65</f>
        <v>25982.374661364927</v>
      </c>
    </row>
    <row r="66">
      <c r="A66" s="1">
        <v>65</v>
      </c>
      <c r="B66" s="1" t="s">
        <v>36</v>
      </c>
      <c r="C66" s="1">
        <v>2003</v>
      </c>
      <c r="D66" s="5">
        <v>38897</v>
      </c>
      <c r="E66" s="5">
        <v>25264</v>
      </c>
      <c r="F66" s="1" t="s">
        <v>7</v>
      </c>
      <c r="G66" s="1" t="s">
        <v>25</v>
      </c>
      <c r="H66" s="1" t="s">
        <v>174</v>
      </c>
      <c r="I66" s="1" t="s">
        <v>5</v>
      </c>
      <c r="J66" s="1" t="s">
        <v>6</v>
      </c>
      <c r="K66" s="4">
        <v>9</v>
      </c>
      <c r="L66" s="1">
        <v>58636.30945210182</v>
      </c>
      <c r="M66" s="1" t="s">
        <v>153</v>
      </c>
      <c r="N66" s="1">
        <v>12</v>
      </c>
      <c r="O66" s="1">
        <v>3</v>
      </c>
      <c r="P66" s="1">
        <v>3</v>
      </c>
      <c r="Q66" s="0" t="str">
        <f>VLOOKUP(C66,JobCode[[Job code]:[Positions]],2,FALSE)</f>
        <v>Cost Accountant</v>
      </c>
      <c r="R66" s="18">
        <f>IF(VLOOKUP(C66,JobCode[],4,FALSE)=0,0,(VLOOKUP(C66,JobCode[],4,FALSE)/100*L66))</f>
        <v>0</v>
      </c>
      <c r="S66" s="23">
        <f>VLOOKUP(H66,HealthPlanRates[],2,FALSE)*12</f>
        <v>25800</v>
      </c>
      <c r="T66" s="18">
        <f>L66+S66</f>
        <v>84436.30945210182</v>
      </c>
    </row>
    <row r="67">
      <c r="A67" s="1">
        <v>66</v>
      </c>
      <c r="B67" s="1" t="s">
        <v>107</v>
      </c>
      <c r="C67" s="1">
        <v>1005</v>
      </c>
      <c r="D67" s="5">
        <v>40245</v>
      </c>
      <c r="E67" s="5">
        <v>25407</v>
      </c>
      <c r="F67" s="1" t="s">
        <v>7</v>
      </c>
      <c r="G67" s="1" t="s">
        <v>25</v>
      </c>
      <c r="H67" s="1" t="s">
        <v>174</v>
      </c>
      <c r="I67" s="1" t="s">
        <v>5</v>
      </c>
      <c r="J67" s="1" t="s">
        <v>6</v>
      </c>
      <c r="K67" s="4">
        <v>5</v>
      </c>
      <c r="L67" s="1">
        <v>81468.83404491711</v>
      </c>
      <c r="M67" s="1" t="s">
        <v>153</v>
      </c>
      <c r="N67" s="1">
        <v>7</v>
      </c>
      <c r="O67" s="1">
        <v>2</v>
      </c>
      <c r="P67" s="1">
        <v>5</v>
      </c>
      <c r="Q67" s="0" t="str">
        <f>VLOOKUP(C67,JobCode[[Job code]:[Positions]],2,FALSE)</f>
        <v>Quality Inspector</v>
      </c>
      <c r="R67" s="18">
        <f>IF(VLOOKUP(C67,JobCode[],4,FALSE)=0,0,(VLOOKUP(C67,JobCode[],4,FALSE)/100*L67))</f>
        <v>0</v>
      </c>
      <c r="S67" s="23">
        <f>VLOOKUP(H67,HealthPlanRates[],2,FALSE)*12</f>
        <v>25800</v>
      </c>
      <c r="T67" s="18">
        <f>L67+S67</f>
        <v>107268.83404491711</v>
      </c>
    </row>
    <row r="68">
      <c r="A68" s="1">
        <v>67</v>
      </c>
      <c r="B68" s="1" t="s">
        <v>80</v>
      </c>
      <c r="C68" s="1">
        <v>2003</v>
      </c>
      <c r="D68" s="5">
        <v>39566</v>
      </c>
      <c r="E68" s="5">
        <v>24222</v>
      </c>
      <c r="F68" s="1" t="s">
        <v>4</v>
      </c>
      <c r="G68" s="1" t="s">
        <v>25</v>
      </c>
      <c r="H68" s="1" t="s">
        <v>178</v>
      </c>
      <c r="I68" s="1" t="s">
        <v>5</v>
      </c>
      <c r="J68" s="1" t="s">
        <v>6</v>
      </c>
      <c r="K68" s="4">
        <v>7</v>
      </c>
      <c r="L68" s="1">
        <v>59430.91855870206</v>
      </c>
      <c r="M68" s="1" t="s">
        <v>153</v>
      </c>
      <c r="N68" s="1">
        <v>11</v>
      </c>
      <c r="O68" s="1">
        <v>3</v>
      </c>
      <c r="P68" s="1">
        <v>5</v>
      </c>
      <c r="Q68" s="0" t="str">
        <f>VLOOKUP(C68,JobCode[[Job code]:[Positions]],2,FALSE)</f>
        <v>Cost Accountant</v>
      </c>
      <c r="R68" s="18">
        <f>IF(VLOOKUP(C68,JobCode[],4,FALSE)=0,0,(VLOOKUP(C68,JobCode[],4,FALSE)/100*L68))</f>
        <v>0</v>
      </c>
      <c r="S68" s="23">
        <f>VLOOKUP(H68,HealthPlanRates[],2,FALSE)*12</f>
        <v>0</v>
      </c>
      <c r="T68" s="18">
        <f>L68+S68</f>
        <v>59430.91855870206</v>
      </c>
    </row>
    <row r="69">
      <c r="A69" s="1">
        <v>68</v>
      </c>
      <c r="B69" s="1" t="s">
        <v>52</v>
      </c>
      <c r="C69" s="1">
        <v>1013</v>
      </c>
      <c r="D69" s="5">
        <v>41129</v>
      </c>
      <c r="E69" s="5">
        <v>25181</v>
      </c>
      <c r="F69" s="1" t="s">
        <v>4</v>
      </c>
      <c r="G69" s="1" t="s">
        <v>152</v>
      </c>
      <c r="H69" s="1" t="s">
        <v>176</v>
      </c>
      <c r="I69" s="1" t="s">
        <v>5</v>
      </c>
      <c r="J69" s="1" t="s">
        <v>6</v>
      </c>
      <c r="K69" s="4">
        <v>3</v>
      </c>
      <c r="L69" s="1">
        <v>74803.5220191595</v>
      </c>
      <c r="M69" s="1" t="s">
        <v>155</v>
      </c>
      <c r="N69" s="1">
        <v>5</v>
      </c>
      <c r="O69" s="1">
        <v>3</v>
      </c>
      <c r="P69" s="1">
        <v>3</v>
      </c>
      <c r="Q69" s="0" t="str">
        <f>VLOOKUP(C69,JobCode[[Job code]:[Positions]],2,FALSE)</f>
        <v>Supervisor</v>
      </c>
      <c r="R69" s="18">
        <f>IF(VLOOKUP(C69,JobCode[],4,FALSE)=0,0,(VLOOKUP(C69,JobCode[],4,FALSE)/100*L69))</f>
        <v>2244.105660574785</v>
      </c>
      <c r="S69" s="23">
        <f>VLOOKUP(H69,HealthPlanRates[],2,FALSE)*12</f>
        <v>31200</v>
      </c>
      <c r="T69" s="18">
        <f>L69+S69</f>
        <v>106003.5220191595</v>
      </c>
    </row>
    <row r="70">
      <c r="A70" s="1">
        <v>69</v>
      </c>
      <c r="B70" s="1" t="s">
        <v>73</v>
      </c>
      <c r="C70" s="1">
        <v>3013</v>
      </c>
      <c r="D70" s="5">
        <v>41133</v>
      </c>
      <c r="E70" s="5">
        <v>23178</v>
      </c>
      <c r="F70" s="1" t="s">
        <v>4</v>
      </c>
      <c r="G70" s="1" t="s">
        <v>25</v>
      </c>
      <c r="H70" s="1" t="s">
        <v>175</v>
      </c>
      <c r="I70" s="1" t="s">
        <v>8</v>
      </c>
      <c r="J70" s="1" t="s">
        <v>9</v>
      </c>
      <c r="K70" s="4">
        <v>3</v>
      </c>
      <c r="L70" s="1">
        <v>120222.63262775417</v>
      </c>
      <c r="M70" s="1" t="s">
        <v>158</v>
      </c>
      <c r="N70" s="1">
        <v>5</v>
      </c>
      <c r="O70" s="1">
        <v>2</v>
      </c>
      <c r="P70" s="1">
        <v>5</v>
      </c>
      <c r="Q70" s="0" t="str">
        <f>VLOOKUP(C70,JobCode[[Job code]:[Positions]],2,FALSE)</f>
        <v>IT Manager</v>
      </c>
      <c r="R70" s="18">
        <f>IF(VLOOKUP(C70,JobCode[],4,FALSE)=0,0,(VLOOKUP(C70,JobCode[],4,FALSE)/100*L70))</f>
        <v>6011.131631387709</v>
      </c>
      <c r="S70" s="23">
        <f>VLOOKUP(H70,HealthPlanRates[],2,FALSE)*12</f>
        <v>12600</v>
      </c>
      <c r="T70" s="18">
        <f>L70+S70</f>
        <v>132822.63262775418</v>
      </c>
    </row>
    <row r="71">
      <c r="A71" s="1">
        <v>70</v>
      </c>
      <c r="B71" s="1" t="s">
        <v>32</v>
      </c>
      <c r="C71" s="1">
        <v>3004</v>
      </c>
      <c r="D71" s="5">
        <v>41549</v>
      </c>
      <c r="E71" s="5">
        <v>31291</v>
      </c>
      <c r="F71" s="1" t="s">
        <v>7</v>
      </c>
      <c r="G71" s="1" t="s">
        <v>25</v>
      </c>
      <c r="H71" s="1" t="s">
        <v>178</v>
      </c>
      <c r="I71" s="1" t="s">
        <v>8</v>
      </c>
      <c r="J71" s="1" t="s">
        <v>6</v>
      </c>
      <c r="K71" s="4">
        <v>2</v>
      </c>
      <c r="L71" s="1">
        <v>65760.6307966449</v>
      </c>
      <c r="M71" s="1" t="s">
        <v>153</v>
      </c>
      <c r="N71" s="1">
        <v>7</v>
      </c>
      <c r="O71" s="1">
        <v>1</v>
      </c>
      <c r="P71" s="1">
        <v>2</v>
      </c>
      <c r="Q71" s="0" t="str">
        <f>VLOOKUP(C71,JobCode[[Job code]:[Positions]],2,FALSE)</f>
        <v>Web Developer</v>
      </c>
      <c r="R71" s="18">
        <f>IF(VLOOKUP(C71,JobCode[],4,FALSE)=0,0,(VLOOKUP(C71,JobCode[],4,FALSE)/100*L71))</f>
        <v>0</v>
      </c>
      <c r="S71" s="23">
        <f>VLOOKUP(H71,HealthPlanRates[],2,FALSE)*12</f>
        <v>0</v>
      </c>
      <c r="T71" s="18">
        <f>L71+S71</f>
        <v>65760.6307966449</v>
      </c>
    </row>
    <row r="72">
      <c r="A72" s="1">
        <v>71</v>
      </c>
      <c r="B72" s="1" t="s">
        <v>33</v>
      </c>
      <c r="C72" s="1">
        <v>3003</v>
      </c>
      <c r="D72" s="5">
        <v>40624</v>
      </c>
      <c r="E72" s="5">
        <v>25775</v>
      </c>
      <c r="F72" s="1" t="s">
        <v>7</v>
      </c>
      <c r="G72" s="1" t="s">
        <v>25</v>
      </c>
      <c r="H72" s="1" t="s">
        <v>174</v>
      </c>
      <c r="I72" s="1" t="s">
        <v>5</v>
      </c>
      <c r="J72" s="1" t="s">
        <v>6</v>
      </c>
      <c r="K72" s="4">
        <v>4</v>
      </c>
      <c r="L72" s="1">
        <v>53272.460207289994</v>
      </c>
      <c r="M72" s="1" t="s">
        <v>153</v>
      </c>
      <c r="N72" s="1">
        <v>8</v>
      </c>
      <c r="O72" s="1">
        <v>2</v>
      </c>
      <c r="P72" s="1">
        <v>5</v>
      </c>
      <c r="Q72" s="0" t="str">
        <f>VLOOKUP(C72,JobCode[[Job code]:[Positions]],2,FALSE)</f>
        <v>Analyst</v>
      </c>
      <c r="R72" s="18">
        <f>IF(VLOOKUP(C72,JobCode[],4,FALSE)=0,0,(VLOOKUP(C72,JobCode[],4,FALSE)/100*L72))</f>
        <v>0</v>
      </c>
      <c r="S72" s="23">
        <f>VLOOKUP(H72,HealthPlanRates[],2,FALSE)*12</f>
        <v>25800</v>
      </c>
      <c r="T72" s="18">
        <f>L72+S72</f>
        <v>79072.46020728999</v>
      </c>
    </row>
    <row r="73">
      <c r="A73" s="1">
        <v>72</v>
      </c>
      <c r="B73" s="1" t="s">
        <v>84</v>
      </c>
      <c r="C73" s="1">
        <v>2002</v>
      </c>
      <c r="D73" s="5">
        <v>39211</v>
      </c>
      <c r="E73" s="5">
        <v>26032</v>
      </c>
      <c r="F73" s="1" t="s">
        <v>7</v>
      </c>
      <c r="G73" s="1" t="s">
        <v>152</v>
      </c>
      <c r="H73" s="1" t="s">
        <v>178</v>
      </c>
      <c r="I73" s="1" t="s">
        <v>5</v>
      </c>
      <c r="J73" s="1" t="s">
        <v>6</v>
      </c>
      <c r="K73" s="4">
        <v>8</v>
      </c>
      <c r="L73" s="1">
        <v>33752.421086069764</v>
      </c>
      <c r="M73" s="1" t="s">
        <v>156</v>
      </c>
      <c r="N73" s="1">
        <v>13</v>
      </c>
      <c r="O73" s="1">
        <v>3</v>
      </c>
      <c r="P73" s="1">
        <v>4</v>
      </c>
      <c r="Q73" s="0" t="str">
        <f>VLOOKUP(C73,JobCode[[Job code]:[Positions]],2,FALSE)</f>
        <v>Accts Receivable</v>
      </c>
      <c r="R73" s="18">
        <f>IF(VLOOKUP(C73,JobCode[],4,FALSE)=0,0,(VLOOKUP(C73,JobCode[],4,FALSE)/100*L73))</f>
        <v>0</v>
      </c>
      <c r="S73" s="23">
        <f>VLOOKUP(H73,HealthPlanRates[],2,FALSE)*12</f>
        <v>0</v>
      </c>
      <c r="T73" s="18">
        <f>L73+S73</f>
        <v>33752.421086069764</v>
      </c>
    </row>
    <row r="74">
      <c r="A74" s="1">
        <v>73</v>
      </c>
      <c r="B74" s="1" t="s">
        <v>45</v>
      </c>
      <c r="C74" s="1">
        <v>2013</v>
      </c>
      <c r="D74" s="5">
        <v>38752</v>
      </c>
      <c r="E74" s="5">
        <v>32248</v>
      </c>
      <c r="F74" s="1" t="s">
        <v>7</v>
      </c>
      <c r="G74" s="1" t="s">
        <v>152</v>
      </c>
      <c r="H74" s="1" t="s">
        <v>178</v>
      </c>
      <c r="I74" s="1" t="s">
        <v>8</v>
      </c>
      <c r="J74" s="1" t="s">
        <v>6</v>
      </c>
      <c r="K74" s="4">
        <v>9</v>
      </c>
      <c r="L74" s="1">
        <v>79377.64380512212</v>
      </c>
      <c r="M74" s="1" t="s">
        <v>153</v>
      </c>
      <c r="N74" s="1">
        <v>10</v>
      </c>
      <c r="O74" s="1">
        <v>2</v>
      </c>
      <c r="P74" s="1">
        <v>1</v>
      </c>
      <c r="Q74" s="0" t="str">
        <f>VLOOKUP(C74,JobCode[[Job code]:[Positions]],2,FALSE)</f>
        <v>Controller</v>
      </c>
      <c r="R74" s="18">
        <f>IF(VLOOKUP(C74,JobCode[],4,FALSE)=0,0,(VLOOKUP(C74,JobCode[],4,FALSE)/100*L74))</f>
        <v>3968.8821902561062</v>
      </c>
      <c r="S74" s="23">
        <f>VLOOKUP(H74,HealthPlanRates[],2,FALSE)*12</f>
        <v>0</v>
      </c>
      <c r="T74" s="18">
        <f>L74+S74</f>
        <v>79377.64380512212</v>
      </c>
    </row>
    <row r="75">
      <c r="A75" s="1">
        <v>74</v>
      </c>
      <c r="B75" s="1" t="s">
        <v>49</v>
      </c>
      <c r="C75" s="1">
        <v>1013</v>
      </c>
      <c r="D75" s="5">
        <v>39085</v>
      </c>
      <c r="E75" s="5">
        <v>28840</v>
      </c>
      <c r="F75" s="1" t="s">
        <v>7</v>
      </c>
      <c r="G75" s="1" t="s">
        <v>152</v>
      </c>
      <c r="H75" s="1" t="s">
        <v>178</v>
      </c>
      <c r="I75" s="1" t="s">
        <v>13</v>
      </c>
      <c r="J75" s="1" t="s">
        <v>6</v>
      </c>
      <c r="K75" s="4">
        <v>8</v>
      </c>
      <c r="L75" s="1">
        <v>76556.5260046088</v>
      </c>
      <c r="M75" s="1" t="s">
        <v>153</v>
      </c>
      <c r="N75" s="1">
        <v>9</v>
      </c>
      <c r="O75" s="1">
        <v>3</v>
      </c>
      <c r="P75" s="1">
        <v>1</v>
      </c>
      <c r="Q75" s="0" t="str">
        <f>VLOOKUP(C75,JobCode[[Job code]:[Positions]],2,FALSE)</f>
        <v>Supervisor</v>
      </c>
      <c r="R75" s="18">
        <f>IF(VLOOKUP(C75,JobCode[],4,FALSE)=0,0,(VLOOKUP(C75,JobCode[],4,FALSE)/100*L75))</f>
        <v>2296.6957801382637</v>
      </c>
      <c r="S75" s="23">
        <f>VLOOKUP(H75,HealthPlanRates[],2,FALSE)*12</f>
        <v>0</v>
      </c>
      <c r="T75" s="18">
        <f>L75+S75</f>
        <v>76556.5260046088</v>
      </c>
    </row>
    <row r="76">
      <c r="A76" s="1">
        <v>75</v>
      </c>
      <c r="B76" s="1" t="s">
        <v>87</v>
      </c>
      <c r="C76" s="1">
        <v>3001</v>
      </c>
      <c r="D76" s="5">
        <v>40487</v>
      </c>
      <c r="E76" s="5">
        <v>25890</v>
      </c>
      <c r="F76" s="1" t="s">
        <v>4</v>
      </c>
      <c r="G76" s="1" t="s">
        <v>25</v>
      </c>
      <c r="H76" s="1" t="s">
        <v>176</v>
      </c>
      <c r="I76" s="1" t="s">
        <v>5</v>
      </c>
      <c r="J76" s="1" t="s">
        <v>6</v>
      </c>
      <c r="K76" s="4">
        <v>5</v>
      </c>
      <c r="L76" s="1">
        <v>44620.05014798845</v>
      </c>
      <c r="M76" s="1" t="s">
        <v>155</v>
      </c>
      <c r="N76" s="1">
        <v>8</v>
      </c>
      <c r="O76" s="1">
        <v>3</v>
      </c>
      <c r="P76" s="1">
        <v>4</v>
      </c>
      <c r="Q76" s="0" t="str">
        <f>VLOOKUP(C76,JobCode[[Job code]:[Positions]],2,FALSE)</f>
        <v>IT Support</v>
      </c>
      <c r="R76" s="18">
        <f>IF(VLOOKUP(C76,JobCode[],4,FALSE)=0,0,(VLOOKUP(C76,JobCode[],4,FALSE)/100*L76))</f>
        <v>0</v>
      </c>
      <c r="S76" s="23">
        <f>VLOOKUP(H76,HealthPlanRates[],2,FALSE)*12</f>
        <v>31200</v>
      </c>
      <c r="T76" s="18">
        <f>L76+S76</f>
        <v>75820.05014798846</v>
      </c>
    </row>
    <row r="77">
      <c r="A77" s="1">
        <v>76</v>
      </c>
      <c r="B77" s="1" t="s">
        <v>67</v>
      </c>
      <c r="C77" s="1">
        <v>1004</v>
      </c>
      <c r="D77" s="5">
        <v>39418</v>
      </c>
      <c r="E77" s="5">
        <v>33522</v>
      </c>
      <c r="F77" s="1" t="s">
        <v>7</v>
      </c>
      <c r="G77" s="1" t="s">
        <v>25</v>
      </c>
      <c r="H77" s="1" t="s">
        <v>178</v>
      </c>
      <c r="I77" s="1" t="s">
        <v>8</v>
      </c>
      <c r="J77" s="1" t="s">
        <v>9</v>
      </c>
      <c r="K77" s="4">
        <v>8</v>
      </c>
      <c r="L77" s="1">
        <v>51018.63688395276</v>
      </c>
      <c r="M77" s="1" t="s">
        <v>153</v>
      </c>
      <c r="N77" s="1">
        <v>13</v>
      </c>
      <c r="O77" s="1">
        <v>1</v>
      </c>
      <c r="P77" s="1">
        <v>4</v>
      </c>
      <c r="Q77" s="0" t="str">
        <f>VLOOKUP(C77,JobCode[[Job code]:[Positions]],2,FALSE)</f>
        <v>Inspector</v>
      </c>
      <c r="R77" s="18">
        <f>IF(VLOOKUP(C77,JobCode[],4,FALSE)=0,0,(VLOOKUP(C77,JobCode[],4,FALSE)/100*L77))</f>
        <v>0</v>
      </c>
      <c r="S77" s="23">
        <f>VLOOKUP(H77,HealthPlanRates[],2,FALSE)*12</f>
        <v>0</v>
      </c>
      <c r="T77" s="18">
        <f>L77+S77</f>
        <v>51018.63688395276</v>
      </c>
    </row>
    <row r="78">
      <c r="A78" s="1">
        <v>77</v>
      </c>
      <c r="B78" s="1" t="s">
        <v>19</v>
      </c>
      <c r="C78" s="1">
        <v>2020</v>
      </c>
      <c r="D78" s="5">
        <v>43135</v>
      </c>
      <c r="E78" s="5">
        <v>31671</v>
      </c>
      <c r="F78" s="1" t="s">
        <v>4</v>
      </c>
      <c r="G78" s="1" t="s">
        <v>25</v>
      </c>
      <c r="H78" s="1" t="s">
        <v>177</v>
      </c>
      <c r="I78" s="1" t="s">
        <v>5</v>
      </c>
      <c r="J78" s="1" t="s">
        <v>6</v>
      </c>
      <c r="K78" s="4">
        <v>1</v>
      </c>
      <c r="L78" s="1">
        <v>143014.9789628932</v>
      </c>
      <c r="M78" s="1" t="s">
        <v>154</v>
      </c>
      <c r="N78" s="1">
        <v>4</v>
      </c>
      <c r="O78" s="1">
        <v>2</v>
      </c>
      <c r="P78" s="1">
        <v>5</v>
      </c>
      <c r="Q78" s="0" t="str">
        <f>VLOOKUP(C78,JobCode[[Job code]:[Positions]],2,FALSE)</f>
        <v>CFO</v>
      </c>
      <c r="R78" s="18">
        <f>IF(VLOOKUP(C78,JobCode[],4,FALSE)=0,0,(VLOOKUP(C78,JobCode[],4,FALSE)/100*L78))</f>
        <v>14301.49789628932</v>
      </c>
      <c r="S78" s="23">
        <f>VLOOKUP(H78,HealthPlanRates[],2,FALSE)*12</f>
        <v>16920</v>
      </c>
      <c r="T78" s="18">
        <f>L78+S78</f>
        <v>159934.9789628932</v>
      </c>
    </row>
    <row r="79">
      <c r="A79" s="1">
        <v>78</v>
      </c>
      <c r="B79" s="1" t="s">
        <v>115</v>
      </c>
      <c r="C79" s="1">
        <v>3001</v>
      </c>
      <c r="D79" s="5">
        <v>39095</v>
      </c>
      <c r="E79" s="5">
        <v>28287</v>
      </c>
      <c r="F79" s="1" t="s">
        <v>7</v>
      </c>
      <c r="G79" s="1" t="s">
        <v>25</v>
      </c>
      <c r="H79" s="1" t="s">
        <v>174</v>
      </c>
      <c r="I79" s="1" t="s">
        <v>5</v>
      </c>
      <c r="J79" s="1" t="s">
        <v>6</v>
      </c>
      <c r="K79" s="4">
        <v>8</v>
      </c>
      <c r="L79" s="1">
        <v>42122.87964552462</v>
      </c>
      <c r="M79" s="1" t="s">
        <v>155</v>
      </c>
      <c r="N79" s="1">
        <v>12</v>
      </c>
      <c r="O79" s="1">
        <v>2</v>
      </c>
      <c r="P79" s="1">
        <v>5</v>
      </c>
      <c r="Q79" s="0" t="str">
        <f>VLOOKUP(C79,JobCode[[Job code]:[Positions]],2,FALSE)</f>
        <v>IT Support</v>
      </c>
      <c r="R79" s="18">
        <f>IF(VLOOKUP(C79,JobCode[],4,FALSE)=0,0,(VLOOKUP(C79,JobCode[],4,FALSE)/100*L79))</f>
        <v>0</v>
      </c>
      <c r="S79" s="23">
        <f>VLOOKUP(H79,HealthPlanRates[],2,FALSE)*12</f>
        <v>25800</v>
      </c>
      <c r="T79" s="18">
        <f>L79+S79</f>
        <v>67922.87964552462</v>
      </c>
    </row>
    <row r="80">
      <c r="A80" s="1">
        <v>79</v>
      </c>
      <c r="B80" s="1" t="s">
        <v>103</v>
      </c>
      <c r="C80" s="1">
        <v>1005</v>
      </c>
      <c r="D80" s="5">
        <v>43108</v>
      </c>
      <c r="E80" s="5">
        <v>24093</v>
      </c>
      <c r="F80" s="1" t="s">
        <v>7</v>
      </c>
      <c r="G80" s="1" t="s">
        <v>25</v>
      </c>
      <c r="H80" s="1" t="s">
        <v>177</v>
      </c>
      <c r="I80" s="1" t="s">
        <v>5</v>
      </c>
      <c r="J80" s="1" t="s">
        <v>6</v>
      </c>
      <c r="K80" s="4">
        <v>1</v>
      </c>
      <c r="L80" s="1">
        <v>52688.753026399994</v>
      </c>
      <c r="M80" s="1" t="s">
        <v>153</v>
      </c>
      <c r="N80" s="1">
        <v>5</v>
      </c>
      <c r="O80" s="1">
        <v>1</v>
      </c>
      <c r="P80" s="1">
        <v>4</v>
      </c>
      <c r="Q80" s="0" t="str">
        <f>VLOOKUP(C80,JobCode[[Job code]:[Positions]],2,FALSE)</f>
        <v>Quality Inspector</v>
      </c>
      <c r="R80" s="18">
        <f>IF(VLOOKUP(C80,JobCode[],4,FALSE)=0,0,(VLOOKUP(C80,JobCode[],4,FALSE)/100*L80))</f>
        <v>0</v>
      </c>
      <c r="S80" s="23">
        <f>VLOOKUP(H80,HealthPlanRates[],2,FALSE)*12</f>
        <v>16920</v>
      </c>
      <c r="T80" s="18">
        <f>L80+S80</f>
        <v>69608.7530264</v>
      </c>
    </row>
    <row r="81">
      <c r="A81" s="1">
        <v>80</v>
      </c>
      <c r="B81" s="1" t="s">
        <v>98</v>
      </c>
      <c r="C81" s="1">
        <v>3003</v>
      </c>
      <c r="D81" s="5">
        <v>41166</v>
      </c>
      <c r="E81" s="5">
        <v>23459</v>
      </c>
      <c r="F81" s="1" t="s">
        <v>7</v>
      </c>
      <c r="G81" s="1" t="s">
        <v>25</v>
      </c>
      <c r="H81" s="1" t="s">
        <v>175</v>
      </c>
      <c r="I81" s="1" t="s">
        <v>5</v>
      </c>
      <c r="J81" s="1" t="s">
        <v>9</v>
      </c>
      <c r="K81" s="4">
        <v>3</v>
      </c>
      <c r="L81" s="1">
        <v>52839.68304943733</v>
      </c>
      <c r="M81" s="1" t="s">
        <v>153</v>
      </c>
      <c r="N81" s="1">
        <v>8</v>
      </c>
      <c r="O81" s="1">
        <v>2</v>
      </c>
      <c r="P81" s="1">
        <v>4</v>
      </c>
      <c r="Q81" s="0" t="str">
        <f>VLOOKUP(C81,JobCode[[Job code]:[Positions]],2,FALSE)</f>
        <v>Analyst</v>
      </c>
      <c r="R81" s="18">
        <f>IF(VLOOKUP(C81,JobCode[],4,FALSE)=0,0,(VLOOKUP(C81,JobCode[],4,FALSE)/100*L81))</f>
        <v>0</v>
      </c>
      <c r="S81" s="23">
        <f>VLOOKUP(H81,HealthPlanRates[],2,FALSE)*12</f>
        <v>12600</v>
      </c>
      <c r="T81" s="18">
        <f>L81+S81</f>
        <v>65439.68304943733</v>
      </c>
    </row>
    <row r="82">
      <c r="A82" s="1">
        <v>81</v>
      </c>
      <c r="B82" s="1" t="s">
        <v>12</v>
      </c>
      <c r="C82" s="1">
        <v>3013</v>
      </c>
      <c r="D82" s="5">
        <v>41288</v>
      </c>
      <c r="E82" s="5">
        <v>33726</v>
      </c>
      <c r="F82" s="1" t="s">
        <v>7</v>
      </c>
      <c r="G82" s="1" t="s">
        <v>26</v>
      </c>
      <c r="H82" s="1" t="s">
        <v>175</v>
      </c>
      <c r="I82" s="1" t="s">
        <v>5</v>
      </c>
      <c r="J82" s="1" t="s">
        <v>9</v>
      </c>
      <c r="K82" s="4">
        <v>2</v>
      </c>
      <c r="L82" s="1">
        <v>82349.5385992672</v>
      </c>
      <c r="M82" s="1" t="s">
        <v>153</v>
      </c>
      <c r="N82" s="1">
        <v>4</v>
      </c>
      <c r="O82" s="1">
        <v>3</v>
      </c>
      <c r="P82" s="1">
        <v>3</v>
      </c>
      <c r="Q82" s="0" t="str">
        <f>VLOOKUP(C82,JobCode[[Job code]:[Positions]],2,FALSE)</f>
        <v>IT Manager</v>
      </c>
      <c r="R82" s="18">
        <f>IF(VLOOKUP(C82,JobCode[],4,FALSE)=0,0,(VLOOKUP(C82,JobCode[],4,FALSE)/100*L82))</f>
        <v>4117.47692996336</v>
      </c>
      <c r="S82" s="23">
        <f>VLOOKUP(H82,HealthPlanRates[],2,FALSE)*12</f>
        <v>12600</v>
      </c>
      <c r="T82" s="18">
        <f>L82+S82</f>
        <v>94949.5385992672</v>
      </c>
    </row>
    <row r="83">
      <c r="A83" s="1">
        <v>82</v>
      </c>
      <c r="B83" s="1" t="s">
        <v>38</v>
      </c>
      <c r="C83" s="1">
        <v>3013</v>
      </c>
      <c r="D83" s="5">
        <v>41127</v>
      </c>
      <c r="E83" s="5">
        <v>26329</v>
      </c>
      <c r="F83" s="1" t="s">
        <v>4</v>
      </c>
      <c r="G83" s="1" t="s">
        <v>25</v>
      </c>
      <c r="H83" s="1" t="s">
        <v>175</v>
      </c>
      <c r="I83" s="1" t="s">
        <v>5</v>
      </c>
      <c r="J83" s="1" t="s">
        <v>6</v>
      </c>
      <c r="K83" s="4">
        <v>3</v>
      </c>
      <c r="L83" s="1">
        <v>67679.98534269372</v>
      </c>
      <c r="M83" s="1" t="s">
        <v>153</v>
      </c>
      <c r="N83" s="1">
        <v>8</v>
      </c>
      <c r="O83" s="1">
        <v>3</v>
      </c>
      <c r="P83" s="1">
        <v>4</v>
      </c>
      <c r="Q83" s="0" t="str">
        <f>VLOOKUP(C83,JobCode[[Job code]:[Positions]],2,FALSE)</f>
        <v>IT Manager</v>
      </c>
      <c r="R83" s="18">
        <f>IF(VLOOKUP(C83,JobCode[],4,FALSE)=0,0,(VLOOKUP(C83,JobCode[],4,FALSE)/100*L83))</f>
        <v>3383.9992671346863</v>
      </c>
      <c r="S83" s="23">
        <f>VLOOKUP(H83,HealthPlanRates[],2,FALSE)*12</f>
        <v>12600</v>
      </c>
      <c r="T83" s="18">
        <f>L83+S83</f>
        <v>80279.98534269372</v>
      </c>
    </row>
    <row r="84">
      <c r="A84" s="1">
        <v>83</v>
      </c>
      <c r="B84" s="1" t="s">
        <v>51</v>
      </c>
      <c r="C84" s="1">
        <v>7020</v>
      </c>
      <c r="D84" s="5">
        <v>40507</v>
      </c>
      <c r="E84" s="5">
        <v>26259</v>
      </c>
      <c r="F84" s="1" t="s">
        <v>4</v>
      </c>
      <c r="G84" s="1" t="s">
        <v>27</v>
      </c>
      <c r="H84" s="1" t="s">
        <v>176</v>
      </c>
      <c r="I84" s="1" t="s">
        <v>8</v>
      </c>
      <c r="J84" s="1" t="s">
        <v>9</v>
      </c>
      <c r="K84" s="4">
        <v>5</v>
      </c>
      <c r="L84" s="1">
        <v>125671.17891527433</v>
      </c>
      <c r="M84" s="1" t="s">
        <v>154</v>
      </c>
      <c r="N84" s="1">
        <v>8</v>
      </c>
      <c r="O84" s="1">
        <v>3</v>
      </c>
      <c r="P84" s="1">
        <v>2</v>
      </c>
      <c r="Q84" s="0" t="str">
        <f>VLOOKUP(C84,JobCode[[Job code]:[Positions]],2,FALSE)</f>
        <v>HR Manager</v>
      </c>
      <c r="R84" s="18">
        <f>IF(VLOOKUP(C84,JobCode[],4,FALSE)=0,0,(VLOOKUP(C84,JobCode[],4,FALSE)/100*L84))</f>
        <v>6283.558945763717</v>
      </c>
      <c r="S84" s="23">
        <f>VLOOKUP(H84,HealthPlanRates[],2,FALSE)*12</f>
        <v>31200</v>
      </c>
      <c r="T84" s="18">
        <f>L84+S84</f>
        <v>156871.17891527433</v>
      </c>
    </row>
    <row r="85">
      <c r="A85" s="1">
        <v>84</v>
      </c>
      <c r="B85" s="1" t="s">
        <v>99</v>
      </c>
      <c r="C85" s="1">
        <v>6001</v>
      </c>
      <c r="D85" s="5">
        <v>39921</v>
      </c>
      <c r="E85" s="5">
        <v>33637</v>
      </c>
      <c r="F85" s="1" t="s">
        <v>7</v>
      </c>
      <c r="G85" s="1" t="s">
        <v>25</v>
      </c>
      <c r="H85" s="1" t="s">
        <v>178</v>
      </c>
      <c r="I85" s="1" t="s">
        <v>5</v>
      </c>
      <c r="J85" s="1" t="s">
        <v>9</v>
      </c>
      <c r="K85" s="4">
        <v>6</v>
      </c>
      <c r="L85" s="1">
        <v>48049.92965739891</v>
      </c>
      <c r="M85" s="1" t="s">
        <v>155</v>
      </c>
      <c r="N85" s="1">
        <v>7</v>
      </c>
      <c r="O85" s="1">
        <v>2</v>
      </c>
      <c r="P85" s="1">
        <v>3</v>
      </c>
      <c r="Q85" s="0" t="str">
        <f>VLOOKUP(C85,JobCode[[Job code]:[Positions]],2,FALSE)</f>
        <v>Purchasing Agent</v>
      </c>
      <c r="R85" s="18">
        <f>IF(VLOOKUP(C85,JobCode[],4,FALSE)=0,0,(VLOOKUP(C85,JobCode[],4,FALSE)/100*L85))</f>
        <v>0</v>
      </c>
      <c r="S85" s="23">
        <f>VLOOKUP(H85,HealthPlanRates[],2,FALSE)*12</f>
        <v>0</v>
      </c>
      <c r="T85" s="18">
        <f>L85+S85</f>
        <v>48049.92965739891</v>
      </c>
    </row>
    <row r="86">
      <c r="A86" s="1">
        <v>85</v>
      </c>
      <c r="B86" s="1" t="s">
        <v>14</v>
      </c>
      <c r="C86" s="1">
        <v>7020</v>
      </c>
      <c r="D86" s="5">
        <v>43324</v>
      </c>
      <c r="E86" s="5">
        <v>23138</v>
      </c>
      <c r="F86" s="1" t="s">
        <v>4</v>
      </c>
      <c r="G86" s="1" t="s">
        <v>25</v>
      </c>
      <c r="H86" s="1" t="s">
        <v>175</v>
      </c>
      <c r="I86" s="1" t="s">
        <v>5</v>
      </c>
      <c r="J86" s="1" t="s">
        <v>6</v>
      </c>
      <c r="K86" s="4">
        <v>1</v>
      </c>
      <c r="L86" s="1">
        <v>121457.90229511181</v>
      </c>
      <c r="M86" s="1" t="s">
        <v>154</v>
      </c>
      <c r="N86" s="1">
        <v>3</v>
      </c>
      <c r="O86" s="1">
        <v>2</v>
      </c>
      <c r="P86" s="1">
        <v>1</v>
      </c>
      <c r="Q86" s="0" t="str">
        <f>VLOOKUP(C86,JobCode[[Job code]:[Positions]],2,FALSE)</f>
        <v>HR Manager</v>
      </c>
      <c r="R86" s="18">
        <f>IF(VLOOKUP(C86,JobCode[],4,FALSE)=0,0,(VLOOKUP(C86,JobCode[],4,FALSE)/100*L86))</f>
        <v>6072.895114755591</v>
      </c>
      <c r="S86" s="23">
        <f>VLOOKUP(H86,HealthPlanRates[],2,FALSE)*12</f>
        <v>12600</v>
      </c>
      <c r="T86" s="18">
        <f>L86+S86</f>
        <v>134057.9022951118</v>
      </c>
    </row>
    <row r="87">
      <c r="A87" s="1">
        <v>86</v>
      </c>
      <c r="B87" s="1" t="s">
        <v>83</v>
      </c>
      <c r="C87" s="1">
        <v>1002</v>
      </c>
      <c r="D87" s="5">
        <v>40833</v>
      </c>
      <c r="E87" s="5">
        <v>29939</v>
      </c>
      <c r="F87" s="1" t="s">
        <v>7</v>
      </c>
      <c r="G87" s="1" t="s">
        <v>25</v>
      </c>
      <c r="H87" s="1" t="s">
        <v>176</v>
      </c>
      <c r="I87" s="1" t="s">
        <v>5</v>
      </c>
      <c r="J87" s="1" t="s">
        <v>6</v>
      </c>
      <c r="K87" s="4">
        <v>4</v>
      </c>
      <c r="L87" s="1">
        <v>24634.37142288215</v>
      </c>
      <c r="M87" s="1" t="s">
        <v>156</v>
      </c>
      <c r="N87" s="1">
        <v>6</v>
      </c>
      <c r="O87" s="1">
        <v>2</v>
      </c>
      <c r="P87" s="1">
        <v>4</v>
      </c>
      <c r="Q87" s="0" t="str">
        <f>VLOOKUP(C87,JobCode[[Job code]:[Positions]],2,FALSE)</f>
        <v>Assembler</v>
      </c>
      <c r="R87" s="18">
        <f>IF(VLOOKUP(C87,JobCode[],4,FALSE)=0,0,(VLOOKUP(C87,JobCode[],4,FALSE)/100*L87))</f>
        <v>0</v>
      </c>
      <c r="S87" s="23">
        <f>VLOOKUP(H87,HealthPlanRates[],2,FALSE)*12</f>
        <v>31200</v>
      </c>
      <c r="T87" s="18">
        <f>L87+S87</f>
        <v>55834.37142288215</v>
      </c>
    </row>
    <row r="88">
      <c r="A88" s="1">
        <v>87</v>
      </c>
      <c r="B88" s="1" t="s">
        <v>46</v>
      </c>
      <c r="C88" s="1">
        <v>9030</v>
      </c>
      <c r="D88" s="5">
        <v>40395</v>
      </c>
      <c r="E88" s="5">
        <v>25811</v>
      </c>
      <c r="F88" s="1" t="s">
        <v>4</v>
      </c>
      <c r="G88" s="1" t="s">
        <v>152</v>
      </c>
      <c r="H88" s="1" t="s">
        <v>200</v>
      </c>
      <c r="I88" s="1" t="s">
        <v>5</v>
      </c>
      <c r="J88" s="1" t="s">
        <v>6</v>
      </c>
      <c r="K88" s="4">
        <v>5</v>
      </c>
      <c r="L88" s="1">
        <v>159096.08534989104</v>
      </c>
      <c r="M88" s="1" t="s">
        <v>154</v>
      </c>
      <c r="N88" s="1">
        <v>7</v>
      </c>
      <c r="O88" s="1">
        <v>2</v>
      </c>
      <c r="P88" s="1">
        <v>3</v>
      </c>
      <c r="Q88" s="0" t="str">
        <f>VLOOKUP(C88,JobCode[[Job code]:[Positions]],2,FALSE)</f>
        <v>General Manager</v>
      </c>
      <c r="R88" s="18">
        <f>IF(VLOOKUP(C88,JobCode[],4,FALSE)=0,0,(VLOOKUP(C88,JobCode[],4,FALSE)/100*L88))</f>
        <v>31819.21706997821</v>
      </c>
      <c r="S88" s="23">
        <v>0</v>
      </c>
      <c r="T88" s="18">
        <f>L88+S88</f>
        <v>159096.08534989104</v>
      </c>
    </row>
    <row r="89">
      <c r="A89" s="1">
        <v>88</v>
      </c>
      <c r="B89" s="1" t="s">
        <v>63</v>
      </c>
      <c r="C89" s="1">
        <v>1005</v>
      </c>
      <c r="D89" s="5">
        <v>38972</v>
      </c>
      <c r="E89" s="5">
        <v>23130</v>
      </c>
      <c r="F89" s="1" t="s">
        <v>7</v>
      </c>
      <c r="G89" s="1" t="s">
        <v>27</v>
      </c>
      <c r="H89" s="1" t="s">
        <v>178</v>
      </c>
      <c r="I89" s="1" t="s">
        <v>13</v>
      </c>
      <c r="J89" s="1" t="s">
        <v>6</v>
      </c>
      <c r="K89" s="4">
        <v>9</v>
      </c>
      <c r="L89" s="1">
        <v>51346.48113378201</v>
      </c>
      <c r="M89" s="1" t="s">
        <v>153</v>
      </c>
      <c r="N89" s="1">
        <v>13</v>
      </c>
      <c r="O89" s="1">
        <v>2</v>
      </c>
      <c r="P89" s="1">
        <v>3</v>
      </c>
      <c r="Q89" s="0" t="str">
        <f>VLOOKUP(C89,JobCode[[Job code]:[Positions]],2,FALSE)</f>
        <v>Quality Inspector</v>
      </c>
      <c r="R89" s="18">
        <f>IF(VLOOKUP(C89,JobCode[],4,FALSE)=0,0,(VLOOKUP(C89,JobCode[],4,FALSE)/100*L89))</f>
        <v>0</v>
      </c>
      <c r="S89" s="23">
        <f>VLOOKUP(H89,HealthPlanRates[],2,FALSE)*12</f>
        <v>0</v>
      </c>
      <c r="T89" s="18">
        <f>L89+S89</f>
        <v>51346.48113378201</v>
      </c>
    </row>
    <row r="90">
      <c r="A90" s="1">
        <v>89</v>
      </c>
      <c r="B90" s="1" t="s">
        <v>118</v>
      </c>
      <c r="C90" s="1">
        <v>3013</v>
      </c>
      <c r="D90" s="5">
        <v>39755</v>
      </c>
      <c r="E90" s="5">
        <v>25660</v>
      </c>
      <c r="F90" s="1" t="s">
        <v>7</v>
      </c>
      <c r="G90" s="1" t="s">
        <v>27</v>
      </c>
      <c r="H90" s="1" t="s">
        <v>174</v>
      </c>
      <c r="I90" s="1" t="s">
        <v>5</v>
      </c>
      <c r="J90" s="1" t="s">
        <v>9</v>
      </c>
      <c r="K90" s="4">
        <v>7</v>
      </c>
      <c r="L90" s="1">
        <v>82227.7895585463</v>
      </c>
      <c r="M90" s="1" t="s">
        <v>153</v>
      </c>
      <c r="N90" s="1">
        <v>8</v>
      </c>
      <c r="O90" s="1">
        <v>1</v>
      </c>
      <c r="P90" s="1">
        <v>2</v>
      </c>
      <c r="Q90" s="0" t="str">
        <f>VLOOKUP(C90,JobCode[[Job code]:[Positions]],2,FALSE)</f>
        <v>IT Manager</v>
      </c>
      <c r="R90" s="18">
        <f>IF(VLOOKUP(C90,JobCode[],4,FALSE)=0,0,(VLOOKUP(C90,JobCode[],4,FALSE)/100*L90))</f>
        <v>4111.389477927315</v>
      </c>
      <c r="S90" s="23">
        <f>VLOOKUP(H90,HealthPlanRates[],2,FALSE)*12</f>
        <v>25800</v>
      </c>
      <c r="T90" s="18">
        <f>L90+S90</f>
        <v>108027.7895585463</v>
      </c>
    </row>
    <row r="91">
      <c r="A91" s="1">
        <v>90</v>
      </c>
      <c r="B91" s="1" t="s">
        <v>88</v>
      </c>
      <c r="C91" s="1">
        <v>1002</v>
      </c>
      <c r="D91" s="5">
        <v>41615</v>
      </c>
      <c r="E91" s="5">
        <v>30447</v>
      </c>
      <c r="F91" s="1" t="s">
        <v>7</v>
      </c>
      <c r="G91" s="1" t="s">
        <v>26</v>
      </c>
      <c r="H91" s="1" t="s">
        <v>175</v>
      </c>
      <c r="I91" s="1" t="s">
        <v>5</v>
      </c>
      <c r="J91" s="1" t="s">
        <v>9</v>
      </c>
      <c r="K91" s="4">
        <v>2</v>
      </c>
      <c r="L91" s="1">
        <v>26331.812079534364</v>
      </c>
      <c r="M91" s="1" t="s">
        <v>156</v>
      </c>
      <c r="N91" s="1">
        <v>6</v>
      </c>
      <c r="O91" s="1">
        <v>2</v>
      </c>
      <c r="P91" s="1">
        <v>5</v>
      </c>
      <c r="Q91" s="0" t="str">
        <f>VLOOKUP(C91,JobCode[[Job code]:[Positions]],2,FALSE)</f>
        <v>Assembler</v>
      </c>
      <c r="R91" s="18">
        <f>IF(VLOOKUP(C91,JobCode[],4,FALSE)=0,0,(VLOOKUP(C91,JobCode[],4,FALSE)/100*L91))</f>
        <v>0</v>
      </c>
      <c r="S91" s="23">
        <f>VLOOKUP(H91,HealthPlanRates[],2,FALSE)*12</f>
        <v>12600</v>
      </c>
      <c r="T91" s="18">
        <f>L91+S91</f>
        <v>38931.812079534364</v>
      </c>
    </row>
    <row r="92">
      <c r="A92" s="1">
        <v>91</v>
      </c>
      <c r="B92" s="1" t="s">
        <v>116</v>
      </c>
      <c r="C92" s="1">
        <v>2003</v>
      </c>
      <c r="D92" s="5">
        <v>39389</v>
      </c>
      <c r="E92" s="5">
        <v>32825</v>
      </c>
      <c r="F92" s="1" t="s">
        <v>7</v>
      </c>
      <c r="G92" s="1" t="s">
        <v>26</v>
      </c>
      <c r="H92" s="1" t="s">
        <v>178</v>
      </c>
      <c r="I92" s="1" t="s">
        <v>5</v>
      </c>
      <c r="J92" s="1" t="s">
        <v>9</v>
      </c>
      <c r="K92" s="4">
        <v>8</v>
      </c>
      <c r="L92" s="1">
        <v>55390.45844647318</v>
      </c>
      <c r="M92" s="1" t="s">
        <v>153</v>
      </c>
      <c r="N92" s="1">
        <v>10</v>
      </c>
      <c r="O92" s="1">
        <v>3</v>
      </c>
      <c r="P92" s="1">
        <v>2</v>
      </c>
      <c r="Q92" s="0" t="str">
        <f>VLOOKUP(C92,JobCode[[Job code]:[Positions]],2,FALSE)</f>
        <v>Cost Accountant</v>
      </c>
      <c r="R92" s="18">
        <f>IF(VLOOKUP(C92,JobCode[],4,FALSE)=0,0,(VLOOKUP(C92,JobCode[],4,FALSE)/100*L92))</f>
        <v>0</v>
      </c>
      <c r="S92" s="23">
        <f>VLOOKUP(H92,HealthPlanRates[],2,FALSE)*12</f>
        <v>0</v>
      </c>
      <c r="T92" s="18">
        <f>L92+S92</f>
        <v>55390.45844647318</v>
      </c>
    </row>
    <row r="93">
      <c r="A93" s="1">
        <v>92</v>
      </c>
      <c r="B93" s="1" t="s">
        <v>104</v>
      </c>
      <c r="C93" s="1">
        <v>3020</v>
      </c>
      <c r="D93" s="5">
        <v>39325</v>
      </c>
      <c r="E93" s="5">
        <v>25030</v>
      </c>
      <c r="F93" s="1" t="s">
        <v>4</v>
      </c>
      <c r="G93" s="1" t="s">
        <v>25</v>
      </c>
      <c r="H93" s="1" t="s">
        <v>176</v>
      </c>
      <c r="I93" s="1" t="s">
        <v>5</v>
      </c>
      <c r="J93" s="1" t="s">
        <v>6</v>
      </c>
      <c r="K93" s="4">
        <v>8</v>
      </c>
      <c r="L93" s="1">
        <v>124611.88111730655</v>
      </c>
      <c r="M93" s="1" t="s">
        <v>154</v>
      </c>
      <c r="N93" s="1">
        <v>13</v>
      </c>
      <c r="O93" s="1">
        <v>3</v>
      </c>
      <c r="P93" s="1">
        <v>1</v>
      </c>
      <c r="Q93" s="0" t="str">
        <f>VLOOKUP(C93,JobCode[[Job code]:[Positions]],2,FALSE)</f>
        <v>CIO</v>
      </c>
      <c r="R93" s="18">
        <f>IF(VLOOKUP(C93,JobCode[],4,FALSE)=0,0,(VLOOKUP(C93,JobCode[],4,FALSE)/100*L93))</f>
        <v>12461.188111730655</v>
      </c>
      <c r="S93" s="23">
        <f>VLOOKUP(H93,HealthPlanRates[],2,FALSE)*12</f>
        <v>31200</v>
      </c>
      <c r="T93" s="18">
        <f>L93+S93</f>
        <v>155811.88111730653</v>
      </c>
    </row>
    <row r="94">
      <c r="A94" s="1">
        <v>93</v>
      </c>
      <c r="B94" s="1" t="s">
        <v>100</v>
      </c>
      <c r="C94" s="1">
        <v>4001</v>
      </c>
      <c r="D94" s="5">
        <v>38799</v>
      </c>
      <c r="E94" s="5">
        <v>23063</v>
      </c>
      <c r="F94" s="1" t="s">
        <v>7</v>
      </c>
      <c r="G94" s="1" t="s">
        <v>25</v>
      </c>
      <c r="H94" s="1" t="s">
        <v>174</v>
      </c>
      <c r="I94" s="1" t="s">
        <v>5</v>
      </c>
      <c r="J94" s="1" t="s">
        <v>6</v>
      </c>
      <c r="K94" s="4">
        <v>9</v>
      </c>
      <c r="L94" s="1">
        <v>60420.89895084998</v>
      </c>
      <c r="M94" s="1" t="s">
        <v>153</v>
      </c>
      <c r="N94" s="1">
        <v>14</v>
      </c>
      <c r="O94" s="1">
        <v>1</v>
      </c>
      <c r="P94" s="1">
        <v>2</v>
      </c>
      <c r="Q94" s="0" t="str">
        <f>VLOOKUP(C94,JobCode[[Job code]:[Positions]],2,FALSE)</f>
        <v>Sales Rep</v>
      </c>
      <c r="R94" s="18">
        <f>IF(VLOOKUP(C94,JobCode[],4,FALSE)=0,0,(VLOOKUP(C94,JobCode[],4,FALSE)/100*L94))</f>
        <v>0</v>
      </c>
      <c r="S94" s="23">
        <f>VLOOKUP(H94,HealthPlanRates[],2,FALSE)*12</f>
        <v>25800</v>
      </c>
      <c r="T94" s="18">
        <f>L94+S94</f>
        <v>86220.89895084998</v>
      </c>
    </row>
    <row r="95">
      <c r="A95" s="1">
        <v>94</v>
      </c>
      <c r="B95" s="1" t="s">
        <v>72</v>
      </c>
      <c r="C95" s="1">
        <v>1005</v>
      </c>
      <c r="D95" s="5">
        <v>41186</v>
      </c>
      <c r="E95" s="5">
        <v>24777</v>
      </c>
      <c r="F95" s="1" t="s">
        <v>7</v>
      </c>
      <c r="G95" s="1" t="s">
        <v>25</v>
      </c>
      <c r="H95" s="1" t="s">
        <v>175</v>
      </c>
      <c r="I95" s="1" t="s">
        <v>8</v>
      </c>
      <c r="J95" s="1" t="s">
        <v>9</v>
      </c>
      <c r="K95" s="4">
        <v>3</v>
      </c>
      <c r="L95" s="1">
        <v>72325.23669070189</v>
      </c>
      <c r="M95" s="1" t="s">
        <v>153</v>
      </c>
      <c r="N95" s="1">
        <v>4</v>
      </c>
      <c r="O95" s="1">
        <v>3</v>
      </c>
      <c r="P95" s="1">
        <v>5</v>
      </c>
      <c r="Q95" s="0" t="str">
        <f>VLOOKUP(C95,JobCode[[Job code]:[Positions]],2,FALSE)</f>
        <v>Quality Inspector</v>
      </c>
      <c r="R95" s="18">
        <f>IF(VLOOKUP(C95,JobCode[],4,FALSE)=0,0,(VLOOKUP(C95,JobCode[],4,FALSE)/100*L95))</f>
        <v>0</v>
      </c>
      <c r="S95" s="23">
        <f>VLOOKUP(H95,HealthPlanRates[],2,FALSE)*12</f>
        <v>12600</v>
      </c>
      <c r="T95" s="18">
        <f>L95+S95</f>
        <v>84925.23669070189</v>
      </c>
    </row>
    <row r="96">
      <c r="A96" s="1">
        <v>95</v>
      </c>
      <c r="B96" s="1" t="s">
        <v>50</v>
      </c>
      <c r="C96" s="1">
        <v>2002</v>
      </c>
      <c r="D96" s="5">
        <v>38825</v>
      </c>
      <c r="E96" s="5">
        <v>26319</v>
      </c>
      <c r="F96" s="1" t="s">
        <v>7</v>
      </c>
      <c r="G96" s="1" t="s">
        <v>25</v>
      </c>
      <c r="H96" s="1" t="s">
        <v>175</v>
      </c>
      <c r="I96" s="1" t="s">
        <v>5</v>
      </c>
      <c r="J96" s="1" t="s">
        <v>6</v>
      </c>
      <c r="K96" s="4">
        <v>9</v>
      </c>
      <c r="L96" s="1">
        <v>35459.25440995932</v>
      </c>
      <c r="M96" s="1" t="s">
        <v>157</v>
      </c>
      <c r="N96" s="1">
        <v>11</v>
      </c>
      <c r="O96" s="1">
        <v>3</v>
      </c>
      <c r="P96" s="1">
        <v>4</v>
      </c>
      <c r="Q96" s="0" t="str">
        <f>VLOOKUP(C96,JobCode[[Job code]:[Positions]],2,FALSE)</f>
        <v>Accts Receivable</v>
      </c>
      <c r="R96" s="18">
        <f>IF(VLOOKUP(C96,JobCode[],4,FALSE)=0,0,(VLOOKUP(C96,JobCode[],4,FALSE)/100*L96))</f>
        <v>0</v>
      </c>
      <c r="S96" s="23">
        <f>VLOOKUP(H96,HealthPlanRates[],2,FALSE)*12</f>
        <v>12600</v>
      </c>
      <c r="T96" s="18">
        <f>L96+S96</f>
        <v>48059.25440995932</v>
      </c>
    </row>
    <row r="97">
      <c r="A97" s="1">
        <v>96</v>
      </c>
      <c r="B97" s="1" t="s">
        <v>61</v>
      </c>
      <c r="C97" s="1">
        <v>3004</v>
      </c>
      <c r="D97" s="5">
        <v>40499</v>
      </c>
      <c r="E97" s="5">
        <v>29106</v>
      </c>
      <c r="F97" s="1" t="s">
        <v>7</v>
      </c>
      <c r="G97" s="1" t="s">
        <v>27</v>
      </c>
      <c r="H97" s="1" t="s">
        <v>177</v>
      </c>
      <c r="I97" s="1" t="s">
        <v>5</v>
      </c>
      <c r="J97" s="1" t="s">
        <v>9</v>
      </c>
      <c r="K97" s="4">
        <v>5</v>
      </c>
      <c r="L97" s="1">
        <v>64042.499685508694</v>
      </c>
      <c r="M97" s="1" t="s">
        <v>153</v>
      </c>
      <c r="N97" s="1">
        <v>8</v>
      </c>
      <c r="O97" s="1">
        <v>2</v>
      </c>
      <c r="P97" s="1">
        <v>4</v>
      </c>
      <c r="Q97" s="0" t="str">
        <f>VLOOKUP(C97,JobCode[[Job code]:[Positions]],2,FALSE)</f>
        <v>Web Developer</v>
      </c>
      <c r="R97" s="18">
        <f>IF(VLOOKUP(C97,JobCode[],4,FALSE)=0,0,(VLOOKUP(C97,JobCode[],4,FALSE)/100*L97))</f>
        <v>0</v>
      </c>
      <c r="S97" s="23">
        <f>VLOOKUP(H97,HealthPlanRates[],2,FALSE)*12</f>
        <v>16920</v>
      </c>
      <c r="T97" s="18">
        <f>L97+S97</f>
        <v>80962.4996855087</v>
      </c>
    </row>
    <row r="98">
      <c r="A98" s="1">
        <v>97</v>
      </c>
      <c r="B98" s="1" t="s">
        <v>101</v>
      </c>
      <c r="C98" s="1">
        <v>4001</v>
      </c>
      <c r="D98" s="5">
        <v>38976</v>
      </c>
      <c r="E98" s="5">
        <v>28805</v>
      </c>
      <c r="F98" s="1" t="s">
        <v>4</v>
      </c>
      <c r="G98" s="1" t="s">
        <v>25</v>
      </c>
      <c r="H98" s="1" t="s">
        <v>178</v>
      </c>
      <c r="I98" s="1" t="s">
        <v>5</v>
      </c>
      <c r="J98" s="1" t="s">
        <v>6</v>
      </c>
      <c r="K98" s="4">
        <v>9</v>
      </c>
      <c r="L98" s="1">
        <v>86901.76839188123</v>
      </c>
      <c r="M98" s="1" t="s">
        <v>153</v>
      </c>
      <c r="N98" s="1">
        <v>13</v>
      </c>
      <c r="O98" s="1">
        <v>2</v>
      </c>
      <c r="P98" s="1">
        <v>2</v>
      </c>
      <c r="Q98" s="0" t="str">
        <f>VLOOKUP(C98,JobCode[[Job code]:[Positions]],2,FALSE)</f>
        <v>Sales Rep</v>
      </c>
      <c r="R98" s="18">
        <f>IF(VLOOKUP(C98,JobCode[],4,FALSE)=0,0,(VLOOKUP(C98,JobCode[],4,FALSE)/100*L98))</f>
        <v>0</v>
      </c>
      <c r="S98" s="23">
        <f>VLOOKUP(H98,HealthPlanRates[],2,FALSE)*12</f>
        <v>0</v>
      </c>
      <c r="T98" s="18">
        <f>L98+S98</f>
        <v>86901.76839188123</v>
      </c>
    </row>
    <row r="99">
      <c r="A99" s="1">
        <v>98</v>
      </c>
      <c r="B99" s="1" t="s">
        <v>42</v>
      </c>
      <c r="C99" s="1">
        <v>6001</v>
      </c>
      <c r="D99" s="5">
        <v>39341</v>
      </c>
      <c r="E99" s="5">
        <v>30665</v>
      </c>
      <c r="F99" s="1" t="s">
        <v>7</v>
      </c>
      <c r="G99" s="1" t="s">
        <v>27</v>
      </c>
      <c r="H99" s="1" t="s">
        <v>176</v>
      </c>
      <c r="I99" s="1" t="s">
        <v>5</v>
      </c>
      <c r="J99" s="1" t="s">
        <v>9</v>
      </c>
      <c r="K99" s="4">
        <v>8</v>
      </c>
      <c r="L99" s="1">
        <v>47769.81175348252</v>
      </c>
      <c r="M99" s="1" t="s">
        <v>155</v>
      </c>
      <c r="N99" s="1">
        <v>9</v>
      </c>
      <c r="O99" s="1">
        <v>3</v>
      </c>
      <c r="P99" s="1">
        <v>5</v>
      </c>
      <c r="Q99" s="0" t="str">
        <f>VLOOKUP(C99,JobCode[[Job code]:[Positions]],2,FALSE)</f>
        <v>Purchasing Agent</v>
      </c>
      <c r="R99" s="18">
        <f>IF(VLOOKUP(C99,JobCode[],4,FALSE)=0,0,(VLOOKUP(C99,JobCode[],4,FALSE)/100*L99))</f>
        <v>0</v>
      </c>
      <c r="S99" s="23">
        <f>VLOOKUP(H99,HealthPlanRates[],2,FALSE)*12</f>
        <v>31200</v>
      </c>
      <c r="T99" s="18">
        <f>L99+S99</f>
        <v>78969.81175348253</v>
      </c>
    </row>
    <row r="100">
      <c r="A100" s="1">
        <v>99</v>
      </c>
      <c r="B100" s="1" t="s">
        <v>31</v>
      </c>
      <c r="C100" s="1">
        <v>1010</v>
      </c>
      <c r="D100" s="5">
        <v>40644</v>
      </c>
      <c r="E100" s="5">
        <v>32537</v>
      </c>
      <c r="F100" s="1" t="s">
        <v>7</v>
      </c>
      <c r="G100" s="1" t="s">
        <v>25</v>
      </c>
      <c r="H100" s="1" t="s">
        <v>177</v>
      </c>
      <c r="I100" s="1" t="s">
        <v>5</v>
      </c>
      <c r="J100" s="1" t="s">
        <v>9</v>
      </c>
      <c r="K100" s="4">
        <v>4</v>
      </c>
      <c r="L100" s="1">
        <v>23253.396873753183</v>
      </c>
      <c r="M100" s="1" t="s">
        <v>156</v>
      </c>
      <c r="N100" s="1">
        <v>8</v>
      </c>
      <c r="O100" s="1">
        <v>1</v>
      </c>
      <c r="P100" s="1">
        <v>1</v>
      </c>
      <c r="Q100" s="0" t="str">
        <f>VLOOKUP(C100,JobCode[[Job code]:[Positions]],2,FALSE)</f>
        <v>Packer</v>
      </c>
      <c r="R100" s="18">
        <f>IF(VLOOKUP(C100,JobCode[],4,FALSE)=0,0,(VLOOKUP(C100,JobCode[],4,FALSE)/100*L100))</f>
        <v>0</v>
      </c>
      <c r="S100" s="23">
        <f>VLOOKUP(H100,HealthPlanRates[],2,FALSE)*12</f>
        <v>16920</v>
      </c>
      <c r="T100" s="18">
        <f>L100+S100</f>
        <v>40173.39687375318</v>
      </c>
    </row>
    <row r="101">
      <c r="A101" s="1">
        <v>100</v>
      </c>
      <c r="B101" s="1" t="s">
        <v>89</v>
      </c>
      <c r="C101" s="1">
        <v>3003</v>
      </c>
      <c r="D101" s="5">
        <v>41482</v>
      </c>
      <c r="E101" s="5">
        <v>23234</v>
      </c>
      <c r="F101" s="1" t="s">
        <v>4</v>
      </c>
      <c r="G101" s="1" t="s">
        <v>25</v>
      </c>
      <c r="H101" s="1" t="s">
        <v>176</v>
      </c>
      <c r="I101" s="1" t="s">
        <v>5</v>
      </c>
      <c r="J101" s="1" t="s">
        <v>6</v>
      </c>
      <c r="K101" s="4">
        <v>2</v>
      </c>
      <c r="L101" s="1">
        <v>54231.81125544323</v>
      </c>
      <c r="M101" s="1" t="s">
        <v>153</v>
      </c>
      <c r="N101" s="1">
        <v>7</v>
      </c>
      <c r="O101" s="1">
        <v>1</v>
      </c>
      <c r="P101" s="1">
        <v>2</v>
      </c>
      <c r="Q101" s="0" t="str">
        <f>VLOOKUP(C101,JobCode[[Job code]:[Positions]],2,FALSE)</f>
        <v>Analyst</v>
      </c>
      <c r="R101" s="18">
        <f>IF(VLOOKUP(C101,JobCode[],4,FALSE)=0,0,(VLOOKUP(C101,JobCode[],4,FALSE)/100*L101))</f>
        <v>0</v>
      </c>
      <c r="S101" s="23">
        <f>VLOOKUP(H101,HealthPlanRates[],2,FALSE)*12</f>
        <v>31200</v>
      </c>
      <c r="T101" s="18">
        <f>L101+S101</f>
        <v>85431.81125544323</v>
      </c>
    </row>
    <row r="102">
      <c r="A102" s="1">
        <v>101</v>
      </c>
      <c r="B102" s="1" t="s">
        <v>187</v>
      </c>
      <c r="C102" s="1">
        <v>7020</v>
      </c>
      <c r="D102" s="5">
        <v>40441</v>
      </c>
      <c r="E102" s="5">
        <v>30891</v>
      </c>
      <c r="F102" s="1" t="s">
        <v>4</v>
      </c>
      <c r="G102" s="1" t="s">
        <v>152</v>
      </c>
      <c r="H102" s="1" t="s">
        <v>175</v>
      </c>
      <c r="I102" s="1" t="s">
        <v>5</v>
      </c>
      <c r="J102" s="1" t="s">
        <v>9</v>
      </c>
      <c r="K102" s="4">
        <v>2</v>
      </c>
      <c r="L102" s="1">
        <v>114182.493154936</v>
      </c>
      <c r="M102" s="1" t="s">
        <v>154</v>
      </c>
      <c r="N102" s="1">
        <v>10</v>
      </c>
      <c r="O102" s="1">
        <v>1</v>
      </c>
      <c r="P102" s="1">
        <v>2</v>
      </c>
      <c r="Q102" s="0" t="str">
        <f>VLOOKUP(C102,JobCode[[Job code]:[Positions]],2,FALSE)</f>
        <v>HR Manager</v>
      </c>
      <c r="R102" s="18">
        <f>IF(VLOOKUP(C102,JobCode[],4,FALSE)=0,0,(VLOOKUP(C102,JobCode[],4,FALSE)/100*L102))</f>
        <v>5709.124657746801</v>
      </c>
      <c r="S102" s="23">
        <f>VLOOKUP(H102,HealthPlanRates[],2,FALSE)*12</f>
        <v>12600</v>
      </c>
      <c r="T102" s="18">
        <f>L102+S102</f>
        <v>126782.493154936</v>
      </c>
    </row>
    <row r="103">
      <c r="A103" s="1">
        <v>102</v>
      </c>
      <c r="B103" s="1" t="s">
        <v>47</v>
      </c>
      <c r="C103" s="1">
        <v>2001</v>
      </c>
      <c r="D103" s="5">
        <v>39000</v>
      </c>
      <c r="E103" s="5">
        <v>23764</v>
      </c>
      <c r="F103" s="1" t="s">
        <v>7</v>
      </c>
      <c r="G103" s="1" t="s">
        <v>152</v>
      </c>
      <c r="H103" s="1" t="s">
        <v>175</v>
      </c>
      <c r="I103" s="1" t="s">
        <v>5</v>
      </c>
      <c r="J103" s="1" t="s">
        <v>9</v>
      </c>
      <c r="K103" s="4">
        <v>5</v>
      </c>
      <c r="L103" s="1">
        <v>32126.17323144962</v>
      </c>
      <c r="M103" s="1" t="s">
        <v>156</v>
      </c>
      <c r="N103" s="1">
        <v>13</v>
      </c>
      <c r="O103" s="1">
        <v>1</v>
      </c>
      <c r="P103" s="1">
        <v>1</v>
      </c>
      <c r="Q103" s="0" t="str">
        <f>VLOOKUP(C103,JobCode[[Job code]:[Positions]],2,FALSE)</f>
        <v>Accts Payable</v>
      </c>
      <c r="R103" s="18">
        <f>IF(VLOOKUP(C103,JobCode[],4,FALSE)=0,0,(VLOOKUP(C103,JobCode[],4,FALSE)/100*L103))</f>
        <v>0</v>
      </c>
      <c r="S103" s="23">
        <f>VLOOKUP(H103,HealthPlanRates[],2,FALSE)*12</f>
        <v>12600</v>
      </c>
      <c r="T103" s="18">
        <f>L103+S103</f>
        <v>44726.17323144962</v>
      </c>
    </row>
    <row r="104">
      <c r="A104" s="1">
        <v>103</v>
      </c>
      <c r="B104" s="1" t="s">
        <v>30</v>
      </c>
      <c r="C104" s="1">
        <v>2002</v>
      </c>
      <c r="D104" s="5">
        <v>42294</v>
      </c>
      <c r="E104" s="5">
        <v>33736</v>
      </c>
      <c r="F104" s="1" t="s">
        <v>7</v>
      </c>
      <c r="G104" s="1" t="s">
        <v>27</v>
      </c>
      <c r="H104" s="1" t="s">
        <v>175</v>
      </c>
      <c r="I104" s="1" t="s">
        <v>5</v>
      </c>
      <c r="J104" s="1" t="s">
        <v>6</v>
      </c>
      <c r="K104" s="4">
        <v>2</v>
      </c>
      <c r="L104" s="1">
        <v>34868.48291071913</v>
      </c>
      <c r="M104" s="1" t="s">
        <v>156</v>
      </c>
      <c r="N104" s="1">
        <v>4</v>
      </c>
      <c r="O104" s="1">
        <v>1</v>
      </c>
      <c r="P104" s="1">
        <v>4</v>
      </c>
      <c r="Q104" s="0" t="str">
        <f>VLOOKUP(C104,JobCode[[Job code]:[Positions]],2,FALSE)</f>
        <v>Accts Receivable</v>
      </c>
      <c r="R104" s="18">
        <f>IF(VLOOKUP(C104,JobCode[],4,FALSE)=0,0,(VLOOKUP(C104,JobCode[],4,FALSE)/100*L104))</f>
        <v>0</v>
      </c>
      <c r="S104" s="23">
        <f>VLOOKUP(H104,HealthPlanRates[],2,FALSE)*12</f>
        <v>12600</v>
      </c>
      <c r="T104" s="18">
        <f>L104+S104</f>
        <v>47468.48291071913</v>
      </c>
    </row>
    <row r="105">
      <c r="A105" s="1">
        <v>104</v>
      </c>
      <c r="B105" s="1" t="s">
        <v>188</v>
      </c>
      <c r="C105" s="1">
        <v>3001</v>
      </c>
      <c r="D105" s="5">
        <v>39400</v>
      </c>
      <c r="E105" s="5">
        <v>33255</v>
      </c>
      <c r="F105" s="1" t="s">
        <v>4</v>
      </c>
      <c r="G105" s="1" t="s">
        <v>27</v>
      </c>
      <c r="H105" s="1" t="s">
        <v>178</v>
      </c>
      <c r="I105" s="1" t="s">
        <v>5</v>
      </c>
      <c r="J105" s="1" t="s">
        <v>6</v>
      </c>
      <c r="K105" s="4">
        <v>1</v>
      </c>
      <c r="L105" s="1">
        <v>42260.9870325935</v>
      </c>
      <c r="M105" s="1" t="s">
        <v>155</v>
      </c>
      <c r="N105" s="1">
        <v>12</v>
      </c>
      <c r="O105" s="1">
        <v>2</v>
      </c>
      <c r="P105" s="1">
        <v>4</v>
      </c>
      <c r="Q105" s="0" t="str">
        <f>VLOOKUP(C105,JobCode[[Job code]:[Positions]],2,FALSE)</f>
        <v>IT Support</v>
      </c>
      <c r="R105" s="18">
        <f>IF(VLOOKUP(C105,JobCode[],4,FALSE)=0,0,(VLOOKUP(C105,JobCode[],4,FALSE)/100*L105))</f>
        <v>0</v>
      </c>
      <c r="S105" s="23">
        <f>VLOOKUP(H105,HealthPlanRates[],2,FALSE)*12</f>
        <v>0</v>
      </c>
      <c r="T105" s="18">
        <f>L105+S105</f>
        <v>42260.9870325935</v>
      </c>
    </row>
    <row r="106">
      <c r="A106" s="1">
        <v>105</v>
      </c>
      <c r="B106" s="1" t="s">
        <v>189</v>
      </c>
      <c r="C106" s="1">
        <v>6001</v>
      </c>
      <c r="D106" s="5">
        <v>39341</v>
      </c>
      <c r="E106" s="5">
        <v>30665</v>
      </c>
      <c r="F106" s="1" t="s">
        <v>7</v>
      </c>
      <c r="G106" s="1" t="s">
        <v>152</v>
      </c>
      <c r="H106" s="1" t="s">
        <v>176</v>
      </c>
      <c r="I106" s="1" t="s">
        <v>5</v>
      </c>
      <c r="J106" s="1" t="s">
        <v>9</v>
      </c>
      <c r="K106" s="4">
        <v>9</v>
      </c>
      <c r="L106" s="1">
        <v>49869.8117534825</v>
      </c>
      <c r="M106" s="1" t="s">
        <v>155</v>
      </c>
      <c r="N106" s="1">
        <v>9</v>
      </c>
      <c r="O106" s="1">
        <v>3</v>
      </c>
      <c r="P106" s="1">
        <v>5</v>
      </c>
      <c r="Q106" s="0" t="str">
        <f>VLOOKUP(C106,JobCode[[Job code]:[Positions]],2,FALSE)</f>
        <v>Purchasing Agent</v>
      </c>
      <c r="R106" s="18">
        <f>IF(VLOOKUP(C106,JobCode[],4,FALSE)=0,0,(VLOOKUP(C106,JobCode[],4,FALSE)/100*L106))</f>
        <v>0</v>
      </c>
      <c r="S106" s="23">
        <f>VLOOKUP(H106,HealthPlanRates[],2,FALSE)*12</f>
        <v>31200</v>
      </c>
      <c r="T106" s="18">
        <f>L106+S106</f>
        <v>81069.8117534825</v>
      </c>
    </row>
    <row r="107">
      <c r="A107" s="1">
        <v>106</v>
      </c>
      <c r="B107" s="1" t="s">
        <v>190</v>
      </c>
      <c r="C107" s="1">
        <v>4013</v>
      </c>
      <c r="D107" s="5">
        <v>39680</v>
      </c>
      <c r="E107" s="5">
        <v>29698</v>
      </c>
      <c r="F107" s="1" t="s">
        <v>4</v>
      </c>
      <c r="G107" s="1" t="s">
        <v>26</v>
      </c>
      <c r="H107" s="1" t="s">
        <v>175</v>
      </c>
      <c r="I107" s="1" t="s">
        <v>5</v>
      </c>
      <c r="J107" s="1" t="s">
        <v>6</v>
      </c>
      <c r="K107" s="4">
        <v>9</v>
      </c>
      <c r="L107" s="1">
        <v>123697.07473606718</v>
      </c>
      <c r="M107" s="1" t="s">
        <v>154</v>
      </c>
      <c r="N107" s="1">
        <v>9</v>
      </c>
      <c r="O107" s="1">
        <v>1</v>
      </c>
      <c r="P107" s="1">
        <v>4</v>
      </c>
      <c r="Q107" s="0" t="str">
        <f>VLOOKUP(C107,JobCode[[Job code]:[Positions]],2,FALSE)</f>
        <v>Sales Manager</v>
      </c>
      <c r="R107" s="18">
        <f>IF(VLOOKUP(C107,JobCode[],4,FALSE)=0,0,(VLOOKUP(C107,JobCode[],4,FALSE)/100*L107))</f>
        <v>6184.853736803359</v>
      </c>
      <c r="S107" s="23">
        <f>VLOOKUP(H107,HealthPlanRates[],2,FALSE)*12</f>
        <v>12600</v>
      </c>
      <c r="T107" s="18">
        <f>L107+S107</f>
        <v>136297.07473606718</v>
      </c>
    </row>
    <row r="108">
      <c r="A108" s="1">
        <v>107</v>
      </c>
      <c r="B108" s="1" t="s">
        <v>191</v>
      </c>
      <c r="C108" s="1">
        <v>3001</v>
      </c>
      <c r="D108" s="5">
        <v>39400</v>
      </c>
      <c r="E108" s="5">
        <v>33255</v>
      </c>
      <c r="F108" s="1" t="s">
        <v>4</v>
      </c>
      <c r="G108" s="1" t="s">
        <v>152</v>
      </c>
      <c r="H108" s="1" t="s">
        <v>178</v>
      </c>
      <c r="I108" s="1" t="s">
        <v>5</v>
      </c>
      <c r="J108" s="1" t="s">
        <v>6</v>
      </c>
      <c r="K108" s="4">
        <v>5</v>
      </c>
      <c r="L108" s="1">
        <v>40260.9870325935</v>
      </c>
      <c r="M108" s="1" t="s">
        <v>155</v>
      </c>
      <c r="N108" s="1">
        <v>12</v>
      </c>
      <c r="O108" s="1">
        <v>2</v>
      </c>
      <c r="P108" s="1">
        <v>4</v>
      </c>
      <c r="Q108" s="0" t="str">
        <f>VLOOKUP(C108,JobCode[[Job code]:[Positions]],2,FALSE)</f>
        <v>IT Support</v>
      </c>
      <c r="R108" s="18">
        <f>IF(VLOOKUP(C108,JobCode[],4,FALSE)=0,0,(VLOOKUP(C108,JobCode[],4,FALSE)/100*L108))</f>
        <v>0</v>
      </c>
      <c r="S108" s="18">
        <f>VLOOKUP(H108,HealthPlanRates[],2,FALSE)*12</f>
        <v>0</v>
      </c>
      <c r="T108" s="18">
        <f>L108+S108</f>
        <v>40260.9870325935</v>
      </c>
    </row>
    <row r="109">
      <c r="R109" s="38">
        <f>SUM(R2:R108)</f>
        <v>357657.3821974586</v>
      </c>
      <c r="S109" s="23">
        <f>SUM(S2:S108)</f>
        <v>1726320</v>
      </c>
      <c r="T109" s="18">
        <f>SUM(T2:T108)</f>
        <v>9492416.069292538</v>
      </c>
    </row>
  </sheetData>
  <sortState xmlns:xlrd2="http://schemas.microsoft.com/office/spreadsheetml/2017/richdata2" ref="A2:K101">
    <sortCondition ref="A2"/>
  </sortState>
  <pageMargins left="0.7" right="0.7" top="0.75" bottom="0.75" header="0.3" footer="0.3"/>
  <pageSetup orientation="portrait" horizontalDpi="200" verticalDpi="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19"/>
  <sheetViews>
    <sheetView workbookViewId="0" zoomScale="80" zoomScaleNormal="80" topLeftCell="A1">
      <selection activeCell="C8" sqref="C8" activeCellId="0"/>
    </sheetView>
  </sheetViews>
  <sheetFormatPr baseColWidth="10" defaultColWidth="8.83203125" defaultRowHeight="15" x14ac:dyDescent="0.2" outlineLevelRow="0" outlineLevelCol="0"/>
  <cols>
    <col min="2" max="2" width="35.6640625" bestFit="1" customWidth="1"/>
    <col min="3" max="3" width="21.1406" customWidth="1"/>
    <col min="4" max="4" width="16.6640625" bestFit="1" customWidth="1"/>
  </cols>
  <sheetData>
    <row r="3" ht="21">
      <c r="B3" s="10" t="s">
        <v>182</v>
      </c>
      <c r="C3" s="14">
        <v>12000000</v>
      </c>
      <c r="D3" s="10"/>
    </row>
    <row r="4" ht="21">
      <c r="B4" s="10" t="s">
        <v>183</v>
      </c>
      <c r="C4" s="14">
        <v>5400000</v>
      </c>
      <c r="D4" s="10"/>
    </row>
    <row r="5" ht="21">
      <c r="B5" s="10" t="s">
        <v>186</v>
      </c>
      <c r="C5" s="10">
        <v>92</v>
      </c>
      <c r="D5" s="14">
        <v>5132631.578947368</v>
      </c>
    </row>
    <row r="6" ht="21">
      <c r="B6" s="10" t="s">
        <v>184</v>
      </c>
      <c r="C6" s="10">
        <v>22</v>
      </c>
      <c r="D6" s="14">
        <v>1227368.4210526317</v>
      </c>
    </row>
    <row r="7" ht="21">
      <c r="B7" s="10" t="s">
        <v>185</v>
      </c>
      <c r="C7" s="10">
        <v>16</v>
      </c>
      <c r="D7" s="14">
        <v>768000</v>
      </c>
    </row>
    <row r="8" ht="21">
      <c r="B8" s="10" t="s">
        <v>192</v>
      </c>
      <c r="C8" s="15">
        <f>D5*23%</f>
        <v>1180505.2631578946</v>
      </c>
      <c r="D8" s="10"/>
    </row>
    <row r="9" ht="21">
      <c r="B9" s="10" t="s">
        <v>193</v>
      </c>
      <c r="C9" s="15">
        <f>D5*10%</f>
        <v>513263.15789473685</v>
      </c>
      <c r="D9" s="10"/>
    </row>
    <row r="10" ht="21">
      <c r="B10" s="10"/>
      <c r="C10" s="10"/>
      <c r="D10" s="10"/>
    </row>
    <row r="11" ht="21">
      <c r="B11" s="10"/>
      <c r="C11" s="10"/>
      <c r="D11" s="10"/>
    </row>
    <row r="12" ht="21">
      <c r="B12" s="10" t="s">
        <v>194</v>
      </c>
      <c r="C12" s="10"/>
      <c r="D12" s="10"/>
    </row>
    <row r="13" ht="21">
      <c r="B13" s="10"/>
      <c r="C13" s="10"/>
      <c r="D13" s="10"/>
    </row>
    <row r="14" ht="21">
      <c r="B14" s="10"/>
      <c r="C14" s="10"/>
      <c r="D14" s="10"/>
    </row>
    <row r="15" ht="21">
      <c r="B15" s="10"/>
      <c r="C15" s="10"/>
      <c r="D15" s="10"/>
    </row>
    <row r="16" ht="21">
      <c r="B16" s="10"/>
      <c r="C16" s="10"/>
      <c r="D16" s="10"/>
    </row>
    <row r="17" ht="21">
      <c r="B17" s="10"/>
      <c r="C17" s="10"/>
      <c r="D17" s="10"/>
    </row>
    <row r="18" ht="21">
      <c r="B18" s="10"/>
      <c r="C18" s="10"/>
      <c r="D18" s="10"/>
    </row>
    <row r="19" ht="21">
      <c r="B19" s="10"/>
      <c r="C19" s="10"/>
      <c r="D19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6"/>
  <sheetViews>
    <sheetView workbookViewId="0" zoomScale="90" zoomScaleNormal="90" topLeftCell="C1">
      <selection activeCell="D7" sqref="D7" activeCellId="0"/>
    </sheetView>
  </sheetViews>
  <sheetFormatPr baseColWidth="10" defaultColWidth="8.83203125" defaultRowHeight="15" x14ac:dyDescent="0.2" outlineLevelRow="0" outlineLevelCol="0"/>
  <cols>
    <col min="2" max="2" width="14.83203125" bestFit="1" customWidth="1"/>
    <col min="3" max="3" width="24.33203125" bestFit="1" customWidth="1"/>
    <col min="4" max="4" width="31.5" bestFit="1" customWidth="1"/>
    <col min="5" max="5" width="14" customWidth="1"/>
    <col min="6" max="6" width="14.2852" customWidth="1"/>
  </cols>
  <sheetData>
    <row r="2" ht="73">
      <c r="B2" s="12" t="s">
        <v>3</v>
      </c>
      <c r="C2" s="12" t="s">
        <v>198</v>
      </c>
      <c r="D2" s="13" t="s">
        <v>181</v>
      </c>
      <c r="E2" s="50" t="s">
        <v>210</v>
      </c>
      <c r="F2" s="50" t="s">
        <v>204</v>
      </c>
    </row>
    <row r="3" ht="21">
      <c r="B3" s="10" t="s">
        <v>25</v>
      </c>
      <c r="C3" s="11">
        <v>8253895</v>
      </c>
      <c r="D3" s="11">
        <v>5649246.4</v>
      </c>
      <c r="E3" s="40">
        <f>C3-D3</f>
        <v>2604648.5999999996</v>
      </c>
      <c r="F3" s="18">
        <f>SUMIF('Employee Data'!G2:G108,"toronto",'Employee Data'!T2:T108)</f>
        <v>4684408.054597361</v>
      </c>
    </row>
    <row r="4" ht="21">
      <c r="B4" s="10" t="s">
        <v>27</v>
      </c>
      <c r="C4" s="11">
        <v>4140925</v>
      </c>
      <c r="D4" s="11">
        <v>2329096</v>
      </c>
      <c r="E4" s="40">
        <f>C4-D4</f>
        <v>1811829</v>
      </c>
      <c r="F4" s="40">
        <f>SUMIF('Employee Data'!G2:G108,"montreal",'Employee Data'!T2:T108)</f>
        <v>2265366.5704275467</v>
      </c>
    </row>
    <row r="5" ht="21">
      <c r="B5" s="10" t="s">
        <v>180</v>
      </c>
      <c r="C5" s="11">
        <v>3963676</v>
      </c>
      <c r="D5" s="11">
        <v>1980376.32</v>
      </c>
      <c r="E5" s="40">
        <f>C5-D5</f>
        <v>1983299.68</v>
      </c>
      <c r="F5" s="40">
        <f>SUMIF('Employee Data'!G2:G108,"winnipeg",'Employee Data'!T2:T108)</f>
        <v>0</v>
      </c>
    </row>
    <row r="6" ht="21">
      <c r="B6" s="10" t="s">
        <v>26</v>
      </c>
      <c r="C6" s="11">
        <v>4881852</v>
      </c>
      <c r="D6" s="11">
        <v>2750192.64</v>
      </c>
      <c r="E6" s="40">
        <f>C6-D6</f>
        <v>2131659.36</v>
      </c>
      <c r="F6" s="40">
        <f>SUMIF('Employee Data'!G2:G108,"vancouver",'Employee Data'!T2:T108)</f>
        <v>875722.913397697</v>
      </c>
    </row>
    <row r="7">
      <c r="B7" s="39" t="s">
        <v>209</v>
      </c>
      <c r="C7" s="40">
        <f>SUM(C3:C6)</f>
        <v>21240348</v>
      </c>
      <c r="D7" s="40">
        <f>SUM(D3:D6)</f>
        <v>12708911.360000001</v>
      </c>
      <c r="E7" s="40">
        <f>SUM(E3:E6)</f>
        <v>8531436.639999999</v>
      </c>
      <c r="F7" s="40">
        <f>SUM(F3:F6)</f>
        <v>7825497.538422604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5:F36"/>
  <sheetViews>
    <sheetView zoomScalePageLayoutView="130" workbookViewId="0" zoomScale="90" zoomScaleNormal="90" topLeftCell="A1">
      <selection activeCell="A17" sqref="A17" activeCellId="0"/>
    </sheetView>
  </sheetViews>
  <sheetFormatPr baseColWidth="10" defaultColWidth="11.5" defaultRowHeight="15" x14ac:dyDescent="0.2" outlineLevelRow="0" outlineLevelCol="0"/>
  <cols>
    <col min="4" max="4" width="16.5" customWidth="1"/>
  </cols>
  <sheetData>
    <row r="5">
      <c r="C5" t="s">
        <v>121</v>
      </c>
      <c r="D5" t="s">
        <v>119</v>
      </c>
      <c r="E5" t="s">
        <v>162</v>
      </c>
      <c r="F5" t="s">
        <v>171</v>
      </c>
    </row>
    <row r="6">
      <c r="C6">
        <v>1001</v>
      </c>
      <c r="D6" t="s">
        <v>120</v>
      </c>
      <c r="E6" t="s">
        <v>163</v>
      </c>
      <c r="F6">
        <v>0</v>
      </c>
    </row>
    <row r="7">
      <c r="C7">
        <v>1002</v>
      </c>
      <c r="D7" t="s">
        <v>122</v>
      </c>
      <c r="E7" t="s">
        <v>163</v>
      </c>
      <c r="F7">
        <v>0</v>
      </c>
    </row>
    <row r="8">
      <c r="C8">
        <v>1003</v>
      </c>
      <c r="D8" t="s">
        <v>123</v>
      </c>
      <c r="E8" t="s">
        <v>163</v>
      </c>
      <c r="F8">
        <v>0</v>
      </c>
    </row>
    <row r="9">
      <c r="C9">
        <v>1004</v>
      </c>
      <c r="D9" t="s">
        <v>124</v>
      </c>
      <c r="E9" t="s">
        <v>163</v>
      </c>
      <c r="F9">
        <v>0</v>
      </c>
    </row>
    <row r="10">
      <c r="C10">
        <v>1005</v>
      </c>
      <c r="D10" t="s">
        <v>125</v>
      </c>
      <c r="E10" t="s">
        <v>163</v>
      </c>
      <c r="F10">
        <v>0</v>
      </c>
    </row>
    <row r="11">
      <c r="C11">
        <v>1010</v>
      </c>
      <c r="D11" t="s">
        <v>126</v>
      </c>
      <c r="E11" t="s">
        <v>163</v>
      </c>
      <c r="F11">
        <v>0</v>
      </c>
    </row>
    <row r="12">
      <c r="C12">
        <v>1011</v>
      </c>
      <c r="D12" t="s">
        <v>127</v>
      </c>
      <c r="E12" t="s">
        <v>163</v>
      </c>
      <c r="F12">
        <v>0</v>
      </c>
    </row>
    <row r="13">
      <c r="C13">
        <v>1012</v>
      </c>
      <c r="D13" t="s">
        <v>128</v>
      </c>
      <c r="E13" t="s">
        <v>163</v>
      </c>
      <c r="F13">
        <v>0</v>
      </c>
    </row>
    <row r="14">
      <c r="C14">
        <v>1013</v>
      </c>
      <c r="D14" t="s">
        <v>129</v>
      </c>
      <c r="E14" t="s">
        <v>163</v>
      </c>
      <c r="F14">
        <v>3</v>
      </c>
    </row>
    <row r="15">
      <c r="C15">
        <v>1020</v>
      </c>
      <c r="D15" t="s">
        <v>136</v>
      </c>
      <c r="E15" t="s">
        <v>164</v>
      </c>
      <c r="F15">
        <v>10</v>
      </c>
    </row>
    <row r="16">
      <c r="C16">
        <v>2001</v>
      </c>
      <c r="D16" t="s">
        <v>130</v>
      </c>
      <c r="E16" t="s">
        <v>165</v>
      </c>
      <c r="F16">
        <v>0</v>
      </c>
    </row>
    <row r="17">
      <c r="C17">
        <v>2002</v>
      </c>
      <c r="D17" t="s">
        <v>131</v>
      </c>
      <c r="E17" t="s">
        <v>165</v>
      </c>
      <c r="F17">
        <v>0</v>
      </c>
    </row>
    <row r="18">
      <c r="C18">
        <v>2003</v>
      </c>
      <c r="D18" t="s">
        <v>132</v>
      </c>
      <c r="E18" t="s">
        <v>165</v>
      </c>
      <c r="F18">
        <v>0</v>
      </c>
    </row>
    <row r="19">
      <c r="C19">
        <v>2004</v>
      </c>
      <c r="D19" t="s">
        <v>133</v>
      </c>
      <c r="E19" t="s">
        <v>165</v>
      </c>
      <c r="F19">
        <v>0</v>
      </c>
    </row>
    <row r="20">
      <c r="C20">
        <v>2013</v>
      </c>
      <c r="D20" t="s">
        <v>134</v>
      </c>
      <c r="E20" t="s">
        <v>165</v>
      </c>
      <c r="F20">
        <v>5</v>
      </c>
    </row>
    <row r="21">
      <c r="C21">
        <v>2020</v>
      </c>
      <c r="D21" t="s">
        <v>135</v>
      </c>
      <c r="E21" t="s">
        <v>164</v>
      </c>
      <c r="F21">
        <v>10</v>
      </c>
    </row>
    <row r="22">
      <c r="C22">
        <v>3001</v>
      </c>
      <c r="D22" t="s">
        <v>137</v>
      </c>
      <c r="E22" t="s">
        <v>166</v>
      </c>
      <c r="F22">
        <v>0</v>
      </c>
    </row>
    <row r="23">
      <c r="C23">
        <v>3002</v>
      </c>
      <c r="D23" t="s">
        <v>138</v>
      </c>
      <c r="E23" t="s">
        <v>166</v>
      </c>
      <c r="F23">
        <v>0</v>
      </c>
    </row>
    <row r="24">
      <c r="C24">
        <v>3003</v>
      </c>
      <c r="D24" t="s">
        <v>139</v>
      </c>
      <c r="E24" t="s">
        <v>166</v>
      </c>
      <c r="F24">
        <v>0</v>
      </c>
    </row>
    <row r="25">
      <c r="C25">
        <v>3004</v>
      </c>
      <c r="D25" t="s">
        <v>151</v>
      </c>
      <c r="E25" t="s">
        <v>166</v>
      </c>
      <c r="F25">
        <v>0</v>
      </c>
    </row>
    <row r="26">
      <c r="C26">
        <v>3013</v>
      </c>
      <c r="D26" t="s">
        <v>140</v>
      </c>
      <c r="E26" t="s">
        <v>166</v>
      </c>
      <c r="F26">
        <v>5</v>
      </c>
    </row>
    <row r="27">
      <c r="C27">
        <v>3020</v>
      </c>
      <c r="D27" t="s">
        <v>141</v>
      </c>
      <c r="E27" t="s">
        <v>164</v>
      </c>
      <c r="F27">
        <v>10</v>
      </c>
    </row>
    <row r="28">
      <c r="C28">
        <v>4001</v>
      </c>
      <c r="D28" t="s">
        <v>142</v>
      </c>
      <c r="E28" t="s">
        <v>167</v>
      </c>
      <c r="F28">
        <v>0</v>
      </c>
    </row>
    <row r="29">
      <c r="C29">
        <v>4013</v>
      </c>
      <c r="D29" t="s">
        <v>143</v>
      </c>
      <c r="E29" t="s">
        <v>167</v>
      </c>
      <c r="F29">
        <v>5</v>
      </c>
    </row>
    <row r="30">
      <c r="C30">
        <v>5013</v>
      </c>
      <c r="D30" t="s">
        <v>144</v>
      </c>
      <c r="E30" t="s">
        <v>168</v>
      </c>
      <c r="F30">
        <v>5</v>
      </c>
    </row>
    <row r="31">
      <c r="C31">
        <v>6001</v>
      </c>
      <c r="D31" t="s">
        <v>145</v>
      </c>
      <c r="E31" t="s">
        <v>169</v>
      </c>
      <c r="F31">
        <v>0</v>
      </c>
    </row>
    <row r="32">
      <c r="C32">
        <v>6013</v>
      </c>
      <c r="D32" t="s">
        <v>146</v>
      </c>
      <c r="E32" t="s">
        <v>169</v>
      </c>
      <c r="F32">
        <v>5</v>
      </c>
    </row>
    <row r="33">
      <c r="C33">
        <v>7001</v>
      </c>
      <c r="D33" t="s">
        <v>148</v>
      </c>
      <c r="E33" t="s">
        <v>170</v>
      </c>
      <c r="F33">
        <v>0</v>
      </c>
    </row>
    <row r="34">
      <c r="C34">
        <v>7002</v>
      </c>
      <c r="D34" t="s">
        <v>149</v>
      </c>
      <c r="E34" t="s">
        <v>170</v>
      </c>
      <c r="F34">
        <v>0</v>
      </c>
    </row>
    <row r="35">
      <c r="C35">
        <v>7020</v>
      </c>
      <c r="D35" t="s">
        <v>150</v>
      </c>
      <c r="E35" t="s">
        <v>170</v>
      </c>
      <c r="F35">
        <v>5</v>
      </c>
    </row>
    <row r="36">
      <c r="C36">
        <v>9030</v>
      </c>
      <c r="D36" t="s">
        <v>147</v>
      </c>
      <c r="E36" t="s">
        <v>164</v>
      </c>
      <c r="F36">
        <v>20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C10"/>
  <sheetViews>
    <sheetView workbookViewId="0" topLeftCell="A1">
      <selection activeCell="G5" sqref="G5"/>
    </sheetView>
  </sheetViews>
  <sheetFormatPr baseColWidth="10" defaultColWidth="11.5" defaultRowHeight="15" x14ac:dyDescent="0.2" outlineLevelRow="0" outlineLevelCol="0"/>
  <cols>
    <col min="2" max="2" width="9.1640625" bestFit="1" customWidth="1"/>
    <col min="3" max="3" width="19.83203125" customWidth="1"/>
  </cols>
  <sheetData>
    <row r="3" ht="24">
      <c r="B3" s="16" t="s">
        <v>196</v>
      </c>
      <c r="C3" s="16"/>
    </row>
    <row r="4" ht="48">
      <c r="B4" s="7" t="s">
        <v>172</v>
      </c>
      <c r="C4" s="8" t="s">
        <v>173</v>
      </c>
    </row>
    <row r="5" ht="24">
      <c r="B5" s="7" t="s">
        <v>174</v>
      </c>
      <c r="C5" s="9">
        <v>2150</v>
      </c>
    </row>
    <row r="6" ht="24">
      <c r="B6" s="7" t="s">
        <v>175</v>
      </c>
      <c r="C6" s="9">
        <v>1050</v>
      </c>
    </row>
    <row r="7" ht="24">
      <c r="B7" s="7" t="s">
        <v>176</v>
      </c>
      <c r="C7" s="9">
        <v>2600</v>
      </c>
    </row>
    <row r="8" ht="24">
      <c r="B8" s="7" t="s">
        <v>177</v>
      </c>
      <c r="C8" s="9">
        <v>1410</v>
      </c>
    </row>
    <row r="9" ht="24">
      <c r="B9" s="7" t="s">
        <v>178</v>
      </c>
      <c r="C9" s="9">
        <v>0</v>
      </c>
    </row>
    <row r="10" ht="24">
      <c r="B10" s="7"/>
      <c r="C10" s="7"/>
    </row>
  </sheetData>
  <mergeCells count="1">
    <mergeCell ref="B3:C3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Views>
    <sheetView workbookViewId="0" tabSelected="1">
      <selection activeCell="F8" activeCellId="0" sqref="F8"/>
    </sheetView>
  </sheetViews>
  <sheetFormatPr defaultRowHeight="15" outlineLevelRow="0" outlineLevelCol="0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Employee Data</vt:lpstr>
      <vt:lpstr>U.S. Numbers</vt:lpstr>
      <vt:lpstr>Operating Profit</vt:lpstr>
      <vt:lpstr>Job Codes</vt:lpstr>
      <vt:lpstr>Lookup Tables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Dafoe</dc:creator>
  <cp:lastModifiedBy>ADMIN</cp:lastModifiedBy>
  <dcterms:created xsi:type="dcterms:W3CDTF">2006-05-27T16:49:13Z</dcterms:created>
  <dcterms:modified xsi:type="dcterms:W3CDTF">2022-01-30T12:16:01Z</dcterms:modified>
</cp:coreProperties>
</file>