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24226"/>
  <xr:revisionPtr revIDLastSave="0" documentId="8_{B64D0926-8A0F-43DA-AC0C-1E809D7D38A1}" xr6:coauthVersionLast="47" xr6:coauthVersionMax="47" xr10:uidLastSave="{00000000-0000-0000-0000-000000000000}"/>
  <bookViews>
    <workbookView xWindow="-120" yWindow="-120" windowWidth="29040" windowHeight="15840" tabRatio="541" firstSheet="1" activeTab="1" xr2:uid="{00000000-000D-0000-FFFF-FFFF00000000}"/>
  </bookViews>
  <sheets>
    <sheet name="Sheet2" sheetId="2" state="hidden" r:id="rId1"/>
    <sheet name="Real Estate" sheetId="1" r:id="rId2"/>
    <sheet name="Sheet3" sheetId="5" state="hidden" r:id="rId3"/>
    <sheet name="Macro Economic " sheetId="3" r:id="rId4"/>
    <sheet name="Sheet5" sheetId="9" state="hidden" r:id="rId5"/>
    <sheet name="Data" sheetId="7" state="hidden" r:id="rId6"/>
    <sheet name="Index" sheetId="11" state="hidden" r:id="rId7"/>
    <sheet name="Sheet8" sheetId="12" state="hidden" r:id="rId8"/>
    <sheet name="Sheet6" sheetId="10" state="hidden" r:id="rId9"/>
    <sheet name="Regression" sheetId="8" state="hidden" r:id="rId10"/>
    <sheet name="Week 3 assignment" sheetId="13" state="hidden" r:id="rId11"/>
    <sheet name="Sheet1" sheetId="4" state="hidden" r:id="rId12"/>
    <sheet name="Sheet4" sheetId="6" state="hidden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6" i="1" l="1"/>
  <c r="AA5" i="3"/>
  <c r="AA18" i="3"/>
  <c r="AA9" i="3"/>
  <c r="E1" i="4"/>
  <c r="D1" i="4"/>
  <c r="C1" i="4"/>
  <c r="I10" i="13"/>
  <c r="I9" i="13"/>
  <c r="I20" i="8"/>
  <c r="I19" i="8"/>
  <c r="M9" i="8"/>
  <c r="M8" i="8"/>
  <c r="M7" i="8"/>
  <c r="G4" i="8"/>
  <c r="E4" i="8"/>
  <c r="F31" i="10"/>
  <c r="F30" i="10"/>
  <c r="F29" i="10"/>
  <c r="F28" i="10"/>
  <c r="F27" i="10"/>
  <c r="F26" i="10"/>
  <c r="X25" i="10"/>
  <c r="W25" i="10"/>
  <c r="F25" i="10"/>
  <c r="F24" i="10"/>
  <c r="F23" i="10"/>
  <c r="F22" i="10"/>
  <c r="U21" i="10"/>
  <c r="F21" i="10"/>
  <c r="U20" i="10"/>
  <c r="F20" i="10"/>
  <c r="F19" i="10"/>
  <c r="F18" i="10"/>
  <c r="F17" i="10"/>
  <c r="F16" i="10"/>
  <c r="D16" i="10"/>
  <c r="C16" i="10"/>
  <c r="F15" i="10"/>
  <c r="F14" i="10"/>
  <c r="F13" i="10"/>
  <c r="D13" i="10"/>
  <c r="C13" i="10"/>
  <c r="F12" i="10"/>
  <c r="F11" i="10"/>
  <c r="F10" i="10"/>
  <c r="D10" i="10"/>
  <c r="C10" i="10"/>
  <c r="F9" i="10"/>
  <c r="F8" i="10"/>
  <c r="T5" i="10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G5" i="12"/>
  <c r="D5" i="12"/>
  <c r="D4" i="12"/>
  <c r="G3" i="12"/>
  <c r="D3" i="12"/>
  <c r="D29" i="11"/>
  <c r="F28" i="11"/>
  <c r="D28" i="11"/>
  <c r="F27" i="11"/>
  <c r="D27" i="11"/>
  <c r="F26" i="11"/>
  <c r="D26" i="11"/>
  <c r="F25" i="11"/>
  <c r="D25" i="11"/>
  <c r="F24" i="11"/>
  <c r="D24" i="11"/>
  <c r="F23" i="11"/>
  <c r="D23" i="11"/>
  <c r="F22" i="11"/>
  <c r="D22" i="11"/>
  <c r="F21" i="11"/>
  <c r="D21" i="11"/>
  <c r="F20" i="11"/>
  <c r="D20" i="11"/>
  <c r="F19" i="11"/>
  <c r="D19" i="11"/>
  <c r="F18" i="11"/>
  <c r="D18" i="11"/>
  <c r="F17" i="11"/>
  <c r="D17" i="11"/>
  <c r="F16" i="11"/>
  <c r="D16" i="11"/>
  <c r="F15" i="11"/>
  <c r="D15" i="11"/>
  <c r="F14" i="11"/>
  <c r="D14" i="11"/>
  <c r="F13" i="11"/>
  <c r="D13" i="11"/>
  <c r="F12" i="11"/>
  <c r="D12" i="11"/>
  <c r="F11" i="11"/>
  <c r="D11" i="11"/>
  <c r="F10" i="11"/>
  <c r="D10" i="11"/>
  <c r="F9" i="11"/>
  <c r="D9" i="11"/>
  <c r="F8" i="11"/>
  <c r="D8" i="11"/>
  <c r="F7" i="11"/>
  <c r="D7" i="11"/>
  <c r="F6" i="11"/>
  <c r="D6" i="11"/>
  <c r="F5" i="11"/>
  <c r="D5" i="11"/>
  <c r="F2" i="11"/>
  <c r="D2" i="11"/>
  <c r="L29" i="7"/>
  <c r="L27" i="7"/>
  <c r="J27" i="7"/>
  <c r="E27" i="7"/>
  <c r="D27" i="7"/>
  <c r="L26" i="7"/>
  <c r="J26" i="7"/>
  <c r="E26" i="7"/>
  <c r="D26" i="7"/>
  <c r="L25" i="7"/>
  <c r="E25" i="7"/>
  <c r="D25" i="7"/>
  <c r="L24" i="7"/>
  <c r="E24" i="7"/>
  <c r="D24" i="7"/>
  <c r="L23" i="7"/>
  <c r="E23" i="7"/>
  <c r="D23" i="7"/>
  <c r="L22" i="7"/>
  <c r="K22" i="7"/>
  <c r="J22" i="7"/>
  <c r="I22" i="7"/>
  <c r="H22" i="7"/>
  <c r="E22" i="7"/>
  <c r="D22" i="7"/>
  <c r="L21" i="7"/>
  <c r="K21" i="7"/>
  <c r="J21" i="7"/>
  <c r="I21" i="7"/>
  <c r="H21" i="7"/>
  <c r="E21" i="7"/>
  <c r="D21" i="7"/>
  <c r="L20" i="7"/>
  <c r="K20" i="7"/>
  <c r="J20" i="7"/>
  <c r="I20" i="7"/>
  <c r="H20" i="7"/>
  <c r="E20" i="7"/>
  <c r="D20" i="7"/>
  <c r="L19" i="7"/>
  <c r="K19" i="7"/>
  <c r="J19" i="7"/>
  <c r="I19" i="7"/>
  <c r="H19" i="7"/>
  <c r="E19" i="7"/>
  <c r="D19" i="7"/>
  <c r="L18" i="7"/>
  <c r="K18" i="7"/>
  <c r="J18" i="7"/>
  <c r="I18" i="7"/>
  <c r="H18" i="7"/>
  <c r="E18" i="7"/>
  <c r="D18" i="7"/>
  <c r="L17" i="7"/>
  <c r="K17" i="7"/>
  <c r="J17" i="7"/>
  <c r="I17" i="7"/>
  <c r="H17" i="7"/>
  <c r="E17" i="7"/>
  <c r="D17" i="7"/>
  <c r="L16" i="7"/>
  <c r="K16" i="7"/>
  <c r="J16" i="7"/>
  <c r="I16" i="7"/>
  <c r="H16" i="7"/>
  <c r="E16" i="7"/>
  <c r="D16" i="7"/>
  <c r="L15" i="7"/>
  <c r="I15" i="7"/>
  <c r="H15" i="7"/>
  <c r="E15" i="7"/>
  <c r="D15" i="7"/>
  <c r="L14" i="7"/>
  <c r="E14" i="7"/>
  <c r="D14" i="7"/>
  <c r="L13" i="7"/>
  <c r="E13" i="7"/>
  <c r="D13" i="7"/>
  <c r="L12" i="7"/>
  <c r="E12" i="7"/>
  <c r="D12" i="7"/>
  <c r="L11" i="7"/>
  <c r="I11" i="7"/>
  <c r="H11" i="7"/>
  <c r="E11" i="7"/>
  <c r="D11" i="7"/>
  <c r="L10" i="7"/>
  <c r="I10" i="7"/>
  <c r="H10" i="7"/>
  <c r="E10" i="7"/>
  <c r="D10" i="7"/>
  <c r="L9" i="7"/>
  <c r="J9" i="7"/>
  <c r="I9" i="7"/>
  <c r="H9" i="7"/>
  <c r="E9" i="7"/>
  <c r="D9" i="7"/>
  <c r="L8" i="7"/>
  <c r="I8" i="7"/>
  <c r="H8" i="7"/>
  <c r="E8" i="7"/>
  <c r="D8" i="7"/>
  <c r="L7" i="7"/>
  <c r="E7" i="7"/>
  <c r="D7" i="7"/>
  <c r="L6" i="7"/>
  <c r="E6" i="7"/>
  <c r="D6" i="7"/>
  <c r="L5" i="7"/>
  <c r="E5" i="7"/>
  <c r="D5" i="7"/>
  <c r="L4" i="7"/>
  <c r="E4" i="7"/>
  <c r="D4" i="7"/>
  <c r="L3" i="7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K66" i="1"/>
  <c r="J66" i="1"/>
  <c r="I66" i="1"/>
  <c r="H66" i="1"/>
  <c r="G66" i="1"/>
  <c r="F66" i="1"/>
  <c r="E66" i="1"/>
  <c r="D66" i="1"/>
  <c r="C66" i="1"/>
  <c r="AA58" i="1"/>
  <c r="A50" i="1"/>
  <c r="A48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A21" i="1"/>
  <c r="AA30" i="1" s="1"/>
  <c r="Z21" i="1"/>
  <c r="Z30" i="1" s="1"/>
  <c r="Z39" i="1" s="1"/>
  <c r="Z53" i="1" s="1"/>
  <c r="Z14" i="1"/>
  <c r="Y14" i="1"/>
  <c r="Y21" i="1" s="1"/>
  <c r="Y30" i="1" s="1"/>
  <c r="Y39" i="1" s="1"/>
  <c r="Y53" i="1" s="1"/>
  <c r="X14" i="1"/>
  <c r="X21" i="1" s="1"/>
  <c r="X30" i="1" s="1"/>
  <c r="X39" i="1" s="1"/>
  <c r="X53" i="1" s="1"/>
  <c r="W14" i="1"/>
  <c r="W21" i="1" s="1"/>
  <c r="W30" i="1" s="1"/>
  <c r="W39" i="1" s="1"/>
  <c r="W53" i="1" s="1"/>
  <c r="V14" i="1"/>
  <c r="V21" i="1" s="1"/>
  <c r="V30" i="1" s="1"/>
  <c r="V39" i="1" s="1"/>
  <c r="V53" i="1" s="1"/>
  <c r="U14" i="1"/>
  <c r="U21" i="1" s="1"/>
  <c r="U30" i="1" s="1"/>
  <c r="U39" i="1" s="1"/>
  <c r="U53" i="1" s="1"/>
  <c r="T14" i="1"/>
  <c r="T21" i="1" s="1"/>
  <c r="T30" i="1" s="1"/>
  <c r="T39" i="1" s="1"/>
  <c r="T53" i="1" s="1"/>
  <c r="S14" i="1"/>
  <c r="S21" i="1" s="1"/>
  <c r="S30" i="1" s="1"/>
  <c r="S39" i="1" s="1"/>
  <c r="S53" i="1" s="1"/>
  <c r="R14" i="1"/>
  <c r="R21" i="1" s="1"/>
  <c r="R30" i="1" s="1"/>
  <c r="R39" i="1" s="1"/>
  <c r="R53" i="1" s="1"/>
  <c r="Q14" i="1"/>
  <c r="Q21" i="1" s="1"/>
  <c r="Q30" i="1" s="1"/>
  <c r="Q39" i="1" s="1"/>
  <c r="Q53" i="1" s="1"/>
  <c r="P14" i="1"/>
  <c r="P21" i="1" s="1"/>
  <c r="P30" i="1" s="1"/>
  <c r="P39" i="1" s="1"/>
  <c r="P53" i="1" s="1"/>
  <c r="O14" i="1"/>
  <c r="O21" i="1" s="1"/>
  <c r="O30" i="1" s="1"/>
  <c r="O39" i="1" s="1"/>
  <c r="O53" i="1" s="1"/>
  <c r="N14" i="1"/>
  <c r="N21" i="1" s="1"/>
  <c r="N30" i="1" s="1"/>
  <c r="N39" i="1" s="1"/>
  <c r="N53" i="1" s="1"/>
  <c r="M14" i="1"/>
  <c r="M21" i="1" s="1"/>
  <c r="M30" i="1" s="1"/>
  <c r="M39" i="1" s="1"/>
  <c r="M53" i="1" s="1"/>
  <c r="L14" i="1"/>
  <c r="L21" i="1" s="1"/>
  <c r="L30" i="1" s="1"/>
  <c r="L39" i="1" s="1"/>
  <c r="L53" i="1" s="1"/>
  <c r="K14" i="1"/>
  <c r="K21" i="1" s="1"/>
  <c r="K30" i="1" s="1"/>
  <c r="K39" i="1" s="1"/>
  <c r="K53" i="1" s="1"/>
  <c r="J14" i="1"/>
  <c r="J21" i="1" s="1"/>
  <c r="J30" i="1" s="1"/>
  <c r="J39" i="1" s="1"/>
  <c r="J53" i="1" s="1"/>
  <c r="I14" i="1"/>
  <c r="I21" i="1" s="1"/>
  <c r="I30" i="1" s="1"/>
  <c r="I39" i="1" s="1"/>
  <c r="I53" i="1" s="1"/>
  <c r="H14" i="1"/>
  <c r="H21" i="1" s="1"/>
  <c r="H30" i="1" s="1"/>
  <c r="H39" i="1" s="1"/>
  <c r="H53" i="1" s="1"/>
  <c r="G14" i="1"/>
  <c r="G21" i="1" s="1"/>
  <c r="G30" i="1" s="1"/>
  <c r="G39" i="1" s="1"/>
  <c r="G53" i="1" s="1"/>
  <c r="F14" i="1"/>
  <c r="F21" i="1" s="1"/>
  <c r="F30" i="1" s="1"/>
  <c r="F39" i="1" s="1"/>
  <c r="F53" i="1" s="1"/>
  <c r="E14" i="1"/>
  <c r="E21" i="1" s="1"/>
  <c r="E30" i="1" s="1"/>
  <c r="E39" i="1" s="1"/>
  <c r="E53" i="1" s="1"/>
  <c r="D14" i="1"/>
  <c r="D21" i="1" s="1"/>
  <c r="D30" i="1" s="1"/>
  <c r="D39" i="1" s="1"/>
  <c r="D53" i="1" s="1"/>
  <c r="C14" i="1"/>
  <c r="C21" i="1" s="1"/>
  <c r="C30" i="1" s="1"/>
  <c r="C39" i="1" s="1"/>
  <c r="C53" i="1" s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D8" i="1"/>
  <c r="C8" i="1"/>
  <c r="AA5" i="1"/>
  <c r="Z5" i="1"/>
  <c r="Z67" i="1" s="1"/>
  <c r="Y5" i="1"/>
  <c r="Y67" i="1" s="1"/>
  <c r="X5" i="1"/>
  <c r="X67" i="1" s="1"/>
  <c r="W5" i="1"/>
  <c r="W67" i="1" s="1"/>
  <c r="V5" i="1"/>
  <c r="V67" i="1" s="1"/>
  <c r="U5" i="1"/>
  <c r="U67" i="1" s="1"/>
  <c r="T5" i="1"/>
  <c r="T67" i="1" s="1"/>
  <c r="S5" i="1"/>
  <c r="S67" i="1" s="1"/>
  <c r="R5" i="1"/>
  <c r="R67" i="1" s="1"/>
  <c r="Q5" i="1"/>
  <c r="Q67" i="1" s="1"/>
  <c r="P5" i="1"/>
  <c r="P67" i="1" s="1"/>
  <c r="O5" i="1"/>
  <c r="N5" i="1"/>
  <c r="N67" i="1" s="1"/>
  <c r="M5" i="1"/>
  <c r="M67" i="1" s="1"/>
  <c r="L5" i="1"/>
  <c r="L67" i="1" s="1"/>
  <c r="K5" i="1"/>
  <c r="J5" i="1"/>
  <c r="J67" i="1" s="1"/>
  <c r="I5" i="1"/>
  <c r="I67" i="1" s="1"/>
  <c r="H5" i="1"/>
  <c r="H67" i="1" s="1"/>
  <c r="G5" i="1"/>
  <c r="G67" i="1" s="1"/>
  <c r="F5" i="1"/>
  <c r="F67" i="1" s="1"/>
  <c r="E5" i="1"/>
  <c r="E67" i="1" s="1"/>
  <c r="D5" i="1"/>
  <c r="D67" i="1" s="1"/>
  <c r="C5" i="1"/>
  <c r="C67" i="1" s="1"/>
  <c r="E4" i="1"/>
  <c r="E8" i="1" s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L7" i="1" s="1"/>
  <c r="K3" i="1"/>
  <c r="J3" i="1"/>
  <c r="I3" i="1"/>
  <c r="H3" i="1"/>
  <c r="G3" i="1"/>
  <c r="F3" i="1"/>
  <c r="E3" i="1"/>
  <c r="D3" i="1"/>
  <c r="C3" i="1"/>
  <c r="H7" i="1" l="1"/>
  <c r="J7" i="1"/>
  <c r="O7" i="1"/>
  <c r="F6" i="4"/>
  <c r="N7" i="1"/>
  <c r="P7" i="1"/>
  <c r="E17" i="4"/>
  <c r="M7" i="1"/>
  <c r="V7" i="1"/>
  <c r="R7" i="1"/>
  <c r="X7" i="1"/>
  <c r="Z7" i="1"/>
  <c r="K7" i="1"/>
  <c r="AA7" i="1"/>
  <c r="F7" i="1"/>
  <c r="Q7" i="1"/>
  <c r="C5" i="4"/>
  <c r="F13" i="4"/>
  <c r="F17" i="4"/>
  <c r="D5" i="4"/>
  <c r="C12" i="4"/>
  <c r="C16" i="4"/>
  <c r="K67" i="1"/>
  <c r="S7" i="1"/>
  <c r="E5" i="4"/>
  <c r="D12" i="4"/>
  <c r="D16" i="4"/>
  <c r="AA67" i="1"/>
  <c r="C7" i="1"/>
  <c r="D7" i="1"/>
  <c r="T7" i="1"/>
  <c r="F5" i="4"/>
  <c r="E12" i="4"/>
  <c r="E16" i="4"/>
  <c r="E7" i="1"/>
  <c r="U7" i="1"/>
  <c r="C4" i="4"/>
  <c r="C8" i="4"/>
  <c r="F12" i="4"/>
  <c r="F16" i="4"/>
  <c r="O67" i="1"/>
  <c r="D4" i="4"/>
  <c r="D8" i="4"/>
  <c r="C15" i="4"/>
  <c r="G7" i="1"/>
  <c r="W7" i="1"/>
  <c r="E4" i="4"/>
  <c r="E8" i="4"/>
  <c r="D15" i="4"/>
  <c r="F4" i="4"/>
  <c r="F8" i="4"/>
  <c r="E15" i="4"/>
  <c r="I7" i="1"/>
  <c r="Y7" i="1"/>
  <c r="C3" i="4"/>
  <c r="C7" i="4"/>
  <c r="F15" i="4"/>
  <c r="D3" i="4"/>
  <c r="D7" i="4"/>
  <c r="C14" i="4"/>
  <c r="E3" i="4"/>
  <c r="E7" i="4"/>
  <c r="D14" i="4"/>
  <c r="F3" i="4"/>
  <c r="F7" i="4"/>
  <c r="E14" i="4"/>
  <c r="C6" i="4"/>
  <c r="F14" i="4"/>
  <c r="D6" i="4"/>
  <c r="C13" i="4"/>
  <c r="C17" i="4"/>
  <c r="E6" i="4"/>
  <c r="D13" i="4"/>
  <c r="D17" i="4"/>
  <c r="E13" i="4"/>
  <c r="I6" i="4" l="1"/>
  <c r="L6" i="4" s="1"/>
  <c r="G6" i="4"/>
  <c r="J6" i="4" s="1"/>
  <c r="H6" i="4"/>
  <c r="K6" i="4" s="1"/>
  <c r="M5" i="4"/>
  <c r="I5" i="4"/>
  <c r="L5" i="4" s="1"/>
  <c r="H5" i="4"/>
  <c r="K5" i="4" s="1"/>
  <c r="G5" i="4"/>
  <c r="J5" i="4" s="1"/>
  <c r="I14" i="4"/>
  <c r="L14" i="4" s="1"/>
  <c r="H14" i="4"/>
  <c r="K14" i="4" s="1"/>
  <c r="G14" i="4"/>
  <c r="J14" i="4" s="1"/>
  <c r="M14" i="4"/>
  <c r="N14" i="4" s="1"/>
  <c r="M8" i="4"/>
  <c r="I8" i="4"/>
  <c r="L8" i="4" s="1"/>
  <c r="H8" i="4"/>
  <c r="K8" i="4" s="1"/>
  <c r="G8" i="4"/>
  <c r="J8" i="4" s="1"/>
  <c r="M17" i="4"/>
  <c r="I17" i="4"/>
  <c r="L17" i="4" s="1"/>
  <c r="H17" i="4"/>
  <c r="K17" i="4" s="1"/>
  <c r="G17" i="4"/>
  <c r="J17" i="4" s="1"/>
  <c r="M4" i="4"/>
  <c r="I4" i="4"/>
  <c r="L4" i="4" s="1"/>
  <c r="H4" i="4"/>
  <c r="K4" i="4" s="1"/>
  <c r="G4" i="4"/>
  <c r="J4" i="4" s="1"/>
  <c r="M16" i="4"/>
  <c r="I16" i="4"/>
  <c r="L16" i="4" s="1"/>
  <c r="H16" i="4"/>
  <c r="K16" i="4" s="1"/>
  <c r="G16" i="4"/>
  <c r="J16" i="4" s="1"/>
  <c r="M12" i="4"/>
  <c r="I12" i="4"/>
  <c r="L12" i="4" s="1"/>
  <c r="H12" i="4"/>
  <c r="K12" i="4" s="1"/>
  <c r="G12" i="4"/>
  <c r="J12" i="4" s="1"/>
  <c r="I7" i="4"/>
  <c r="L7" i="4" s="1"/>
  <c r="H7" i="4"/>
  <c r="K7" i="4" s="1"/>
  <c r="G7" i="4"/>
  <c r="J7" i="4" s="1"/>
  <c r="M7" i="4"/>
  <c r="M13" i="4"/>
  <c r="I13" i="4"/>
  <c r="L13" i="4" s="1"/>
  <c r="H13" i="4"/>
  <c r="K13" i="4" s="1"/>
  <c r="G13" i="4"/>
  <c r="J13" i="4" s="1"/>
  <c r="M15" i="4"/>
  <c r="I15" i="4"/>
  <c r="L15" i="4" s="1"/>
  <c r="H15" i="4"/>
  <c r="K15" i="4" s="1"/>
  <c r="G15" i="4"/>
  <c r="J15" i="4" s="1"/>
  <c r="I3" i="4"/>
  <c r="L3" i="4" s="1"/>
  <c r="H3" i="4"/>
  <c r="K3" i="4" s="1"/>
  <c r="G3" i="4"/>
  <c r="J3" i="4" s="1"/>
  <c r="M3" i="4"/>
  <c r="M6" i="4"/>
  <c r="N3" i="4" l="1"/>
  <c r="N9" i="4" s="1"/>
  <c r="N8" i="4"/>
  <c r="N6" i="4"/>
  <c r="N15" i="4"/>
  <c r="N5" i="4"/>
  <c r="N4" i="4"/>
  <c r="N13" i="4"/>
  <c r="N17" i="4"/>
  <c r="N12" i="4"/>
  <c r="N18" i="4" s="1"/>
  <c r="N7" i="4"/>
  <c r="N16" i="4"/>
  <c r="P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2" authorId="0" shapeId="0" xr:uid="{EBA433AD-6FF6-459B-9072-B99D09A2074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Table 027-0001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" authorId="0" shapeId="0" xr:uid="{A657E430-BB0E-4E65-9A41-9BBC174DD7E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Table 027-0001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4" authorId="0" shapeId="0" xr:uid="{93476F25-4199-4E9D-86CF-B1C485F465F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Table 282 - 0087</t>
        </r>
      </text>
    </comment>
  </commentList>
</comments>
</file>

<file path=xl/sharedStrings.xml><?xml version="1.0" encoding="utf-8"?>
<sst xmlns="http://schemas.openxmlformats.org/spreadsheetml/2006/main" count="553" uniqueCount="233">
  <si>
    <t>Vancouver</t>
  </si>
  <si>
    <t>Single</t>
  </si>
  <si>
    <t>Apartment</t>
  </si>
  <si>
    <t>Active listing</t>
  </si>
  <si>
    <t>Sales</t>
  </si>
  <si>
    <t>Sales to Active List Ratio</t>
  </si>
  <si>
    <t>Average Sales Price</t>
  </si>
  <si>
    <t>Average days on market</t>
  </si>
  <si>
    <t>Sources</t>
  </si>
  <si>
    <t>Interest rate</t>
  </si>
  <si>
    <t>http://www.bankofcanada.ca/core-functions/monetary-policy/key-interest-rate/</t>
  </si>
  <si>
    <t>CPI</t>
  </si>
  <si>
    <t>Unemployment</t>
  </si>
  <si>
    <t>http://www5.statcan.gc.ca/cansim/a26?lang=eng&amp;retrLang=eng&amp;id=0270001&amp;pattern=0270001..0270002%2C0270006..0270041%2C0270043..0270044%2C0270046..0270057&amp;tabMode=dataTable&amp;srchLan=-1&amp;p1=-1&amp;p2=-1#customizeTab</t>
  </si>
  <si>
    <t>Vancouver Island</t>
  </si>
  <si>
    <t>HPI</t>
  </si>
  <si>
    <t>Benchmark price</t>
  </si>
  <si>
    <t>Number of Days to Sell</t>
  </si>
  <si>
    <t xml:space="preserve">Single </t>
  </si>
  <si>
    <t>Condo</t>
  </si>
  <si>
    <t>Single*</t>
  </si>
  <si>
    <t>Condo**</t>
  </si>
  <si>
    <t># of Current Listing</t>
  </si>
  <si>
    <t># of New listings</t>
  </si>
  <si>
    <t>Shuswap - Residential</t>
  </si>
  <si>
    <t>Units Listed</t>
  </si>
  <si>
    <t>Inventory</t>
  </si>
  <si>
    <t>Units Sold</t>
  </si>
  <si>
    <t>List/Sales Ratio</t>
  </si>
  <si>
    <t>Median Sales Price</t>
  </si>
  <si>
    <t>Days to Sell</t>
  </si>
  <si>
    <t>BC</t>
  </si>
  <si>
    <t>Canada</t>
  </si>
  <si>
    <t>http://www5.statcan.gc.ca/cansim/pick-choisir?lang=eng&amp;p2=33&amp;id=0270015</t>
  </si>
  <si>
    <t>Fraser Valley</t>
  </si>
  <si>
    <t>Single - Detached</t>
  </si>
  <si>
    <t>New listings</t>
  </si>
  <si>
    <t>http://www.fvreb.bc.ca/stats/</t>
  </si>
  <si>
    <t>http://www5.statcan.gc.ca/cansim/a26?lang=eng&amp;retrLang=eng&amp;id=3260020&amp;&amp;pattern=&amp;stByVal=1&amp;p1=1&amp;p2=37&amp;tabMode=dataTable&amp;csid=</t>
  </si>
  <si>
    <t>http://www.bankofcanada.ca/rates/exchange/daily-exchange-rates-lookup/?series%5B%5D=FXUSDCAD&amp;lookupPage=lookup_daily_exchange_rates_2017.php&amp;startRange=2007-07-12&amp;rangeType=range&amp;rangeValue=3.m&amp;dFrom=&amp;dTo=&amp;submit_button=Submit</t>
  </si>
  <si>
    <t>http://www5.statcan.gc.ca/cansim/a26?lang=eng&amp;retrLang=eng&amp;id=2820087&amp;&amp;pattern=&amp;stByVal=1&amp;p1=1&amp;p2=37&amp;tabMode=dataTable&amp;csid=</t>
  </si>
  <si>
    <t>http://www.statcan.gc.ca/tables-tableaux/sum-som/l01/cst01/lfss01c-eng.htm</t>
  </si>
  <si>
    <t>http://www5.statcan.gc.ca/cansim/a26?lang=eng&amp;retrLang=eng&amp;id=0270001&amp;pattern=0270001..0270002%2C0270006..0270041%2C0270043..0270044%2C0270046..0270057&amp;csid=</t>
  </si>
  <si>
    <t>http://www.vireb.com/index.php?page=20</t>
  </si>
  <si>
    <t>Credit Union</t>
  </si>
  <si>
    <t>MFSR</t>
  </si>
  <si>
    <t>Report status</t>
  </si>
  <si>
    <t>Variance</t>
  </si>
  <si>
    <t>Aldergrove</t>
  </si>
  <si>
    <t>First</t>
  </si>
  <si>
    <t>Community Savings</t>
  </si>
  <si>
    <t>Interior</t>
  </si>
  <si>
    <t>June Extract</t>
  </si>
  <si>
    <t>Salmon Arm</t>
  </si>
  <si>
    <t>Sharons</t>
  </si>
  <si>
    <t>Summerland</t>
  </si>
  <si>
    <t>Sunshine Coast</t>
  </si>
  <si>
    <t>GNF</t>
  </si>
  <si>
    <t>No</t>
  </si>
  <si>
    <t>Yes</t>
  </si>
  <si>
    <t>Incomplete</t>
  </si>
  <si>
    <t>Pending</t>
  </si>
  <si>
    <t>Completed</t>
  </si>
  <si>
    <t>Resolved</t>
  </si>
  <si>
    <t>NA</t>
  </si>
  <si>
    <t>http://www5.statcan.gc.ca/cansim/a26?lang=eng&amp;retrLang=eng&amp;id=0260001&amp;pattern=0260001..0260008%2C0260010&amp;csid=</t>
  </si>
  <si>
    <t>South Okanagan</t>
  </si>
  <si>
    <t>http://www.omreb.com/page.php?pageID=124&amp;sectionID=2</t>
  </si>
  <si>
    <t>Central</t>
  </si>
  <si>
    <t>Central Okanagan</t>
  </si>
  <si>
    <t>Real Estate Indicators BC Sales</t>
  </si>
  <si>
    <t>Real Estate Indicators BC Prices</t>
  </si>
  <si>
    <t>https://www.omreb.com/market-stats/</t>
  </si>
  <si>
    <t>QOQ</t>
  </si>
  <si>
    <t>MOM</t>
  </si>
  <si>
    <t>YOY</t>
  </si>
  <si>
    <t>Current Month</t>
  </si>
  <si>
    <t>Previous Year</t>
  </si>
  <si>
    <t>Previous Month</t>
  </si>
  <si>
    <t>Previous Quarter</t>
  </si>
  <si>
    <t>Price Change</t>
  </si>
  <si>
    <t>% Change in price</t>
  </si>
  <si>
    <t>Weights</t>
  </si>
  <si>
    <t>WA Change</t>
  </si>
  <si>
    <t>https://www150.statcan.gc.ca/t1/tbl1/en/cv.action?pid=3410014301</t>
  </si>
  <si>
    <t>https://www.rebgv.org/market-watch/monthly-market-report/december-2018.html</t>
  </si>
  <si>
    <t>https://www150.statcan.gc.ca/t1/tbl1/en/tv.action?pid=1810000413&amp;pickMembers%5B0%5D=1.26</t>
  </si>
  <si>
    <t>http://www.soreb.org/stats/2019/APR19</t>
  </si>
  <si>
    <t>Median Apartment</t>
  </si>
  <si>
    <t>Avg Apartment</t>
  </si>
  <si>
    <t>What are we looking for?</t>
  </si>
  <si>
    <t>Pattern</t>
  </si>
  <si>
    <t>Real estate Agent</t>
  </si>
  <si>
    <t>Government</t>
  </si>
  <si>
    <t>Potential Tax Revenue</t>
  </si>
  <si>
    <t>Bank</t>
  </si>
  <si>
    <t>Real Estate Inflation</t>
  </si>
  <si>
    <t>Mortgage Demand</t>
  </si>
  <si>
    <t>Buyer or Seller</t>
  </si>
  <si>
    <t>Affordability</t>
  </si>
  <si>
    <t>Opportunity to Sell</t>
  </si>
  <si>
    <t>Right time to buy and Sell</t>
  </si>
  <si>
    <t>Sales or Commission patterns</t>
  </si>
  <si>
    <t>Regulation</t>
  </si>
  <si>
    <t>Average</t>
  </si>
  <si>
    <t>Std Dev.</t>
  </si>
  <si>
    <t>January 2018 to 2020</t>
  </si>
  <si>
    <t>% Difference</t>
  </si>
  <si>
    <t>Rent Differential</t>
  </si>
  <si>
    <t>Q1</t>
  </si>
  <si>
    <t>Q2</t>
  </si>
  <si>
    <t>Q3</t>
  </si>
  <si>
    <t>Q4</t>
  </si>
  <si>
    <t>New - Old / Old *100</t>
  </si>
  <si>
    <t>%Change of Average prices</t>
  </si>
  <si>
    <t>Simple Index numbers</t>
  </si>
  <si>
    <t>Base Period</t>
  </si>
  <si>
    <t>Correlation</t>
  </si>
  <si>
    <t>r</t>
  </si>
  <si>
    <t>No or little correlation</t>
  </si>
  <si>
    <t>Perfect Positive</t>
  </si>
  <si>
    <t>Perfect Negative</t>
  </si>
  <si>
    <t xml:space="preserve">  -1 to 0  </t>
  </si>
  <si>
    <t>Imperfect negative</t>
  </si>
  <si>
    <t xml:space="preserve">  0 to 1</t>
  </si>
  <si>
    <t>Imperfect Positive</t>
  </si>
  <si>
    <t>x</t>
  </si>
  <si>
    <t>y</t>
  </si>
  <si>
    <t>Independent of orgin and scale</t>
  </si>
  <si>
    <t>X and Y</t>
  </si>
  <si>
    <t>Y and X</t>
  </si>
  <si>
    <t>New X</t>
  </si>
  <si>
    <t>Prices in V Island</t>
  </si>
  <si>
    <t>Sales in Vancouver</t>
  </si>
  <si>
    <t>X</t>
  </si>
  <si>
    <t>Y</t>
  </si>
  <si>
    <t>Dependent Variable</t>
  </si>
  <si>
    <t>Independent Variable</t>
  </si>
  <si>
    <t>Alpha</t>
  </si>
  <si>
    <t>Error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</si>
  <si>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</si>
  <si>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</si>
  <si>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</si>
  <si>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</si>
  <si>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</si>
  <si>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</si>
  <si>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</si>
  <si>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</si>
  <si>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</si>
  <si>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</si>
  <si>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</si>
  <si>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</si>
  <si>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</si>
  <si>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</si>
  <si>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</si>
  <si>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</si>
  <si>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</si>
  <si>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</si>
  <si>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</si>
  <si>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</si>
  <si>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</si>
  <si>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</si>
  <si>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</si>
  <si>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</si>
  <si>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</si>
  <si>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Beta 1</t>
  </si>
  <si>
    <r>
      <t>Purpose: Identify the changes in prices in VI</t>
    </r>
    <r>
      <rPr>
        <b/>
        <sz val="11"/>
        <color theme="1"/>
        <rFont val="Calibri"/>
        <family val="2"/>
        <scheme val="minor"/>
      </rPr>
      <t xml:space="preserve"> explained</t>
    </r>
    <r>
      <rPr>
        <sz val="11"/>
        <color theme="1"/>
        <rFont val="Calibri"/>
        <family val="2"/>
        <scheme val="minor"/>
      </rPr>
      <t xml:space="preserve"> by changes in Sales in Vancouver</t>
    </r>
  </si>
  <si>
    <t>Explained Variable</t>
  </si>
  <si>
    <t>Explanatory</t>
  </si>
  <si>
    <t>Independent</t>
  </si>
  <si>
    <t xml:space="preserve">Dependent </t>
  </si>
  <si>
    <t>Unemployment (%)</t>
  </si>
  <si>
    <t>Housing Starts (units)</t>
  </si>
  <si>
    <t>Beta</t>
  </si>
  <si>
    <t>If Unemp, Increases by 1, CPI will decrease by 5.47</t>
  </si>
  <si>
    <t>If unemp is zero, CPI will be equal to 166.08</t>
  </si>
  <si>
    <t>Housing starts</t>
  </si>
  <si>
    <t>X1</t>
  </si>
  <si>
    <t>X2</t>
  </si>
  <si>
    <t>Independent variables</t>
  </si>
  <si>
    <t>Dependent variable</t>
  </si>
  <si>
    <t>CPI = Alpha + Beta1 (Unemp) + Beta2 (Housing Starts) + Error</t>
  </si>
  <si>
    <t>Single factor</t>
  </si>
  <si>
    <t>R Sqr</t>
  </si>
  <si>
    <t>Slope 2</t>
  </si>
  <si>
    <t>Slope 1</t>
  </si>
  <si>
    <t>Prices on V Island = Alpha + Beta1 (Sales in Vancouver) + error</t>
  </si>
  <si>
    <t>Number</t>
  </si>
  <si>
    <t>%</t>
  </si>
  <si>
    <t>Units</t>
  </si>
  <si>
    <t>CAD</t>
  </si>
  <si>
    <t>If sales in vancouver decreases by 1 unit, prices in v island will decrease by $10.96. #KAOFC.</t>
  </si>
  <si>
    <t>If sales in vancouver increases by 1000 units, prices in v island will increase by $10960. #KAOFC.</t>
  </si>
  <si>
    <t>Steps</t>
  </si>
  <si>
    <t>Absolute |t stat|</t>
  </si>
  <si>
    <t>Compare it to 2</t>
  </si>
  <si>
    <r>
      <t xml:space="preserve">If |t stat| is greater than 2. The relationship between dep. And indep. Is </t>
    </r>
    <r>
      <rPr>
        <b/>
        <sz val="11"/>
        <color theme="1"/>
        <rFont val="Calibri"/>
        <family val="2"/>
        <scheme val="minor"/>
      </rPr>
      <t>statistically significant.</t>
    </r>
  </si>
  <si>
    <t>If the relationship is statistically significant. The interpretation is true 90% of the times.</t>
  </si>
  <si>
    <t>Co. Eff of Variation</t>
  </si>
  <si>
    <t>Pricing</t>
  </si>
  <si>
    <t>Timing of the market</t>
  </si>
  <si>
    <t>Taxes</t>
  </si>
  <si>
    <t>Marketing</t>
  </si>
  <si>
    <t>Marketing/Niche</t>
  </si>
  <si>
    <t>interest Rates</t>
  </si>
  <si>
    <t>GDP Forecast</t>
  </si>
  <si>
    <t>Real estate inflation</t>
  </si>
  <si>
    <t>Policy and regulation</t>
  </si>
  <si>
    <t>Understanding purchasing power</t>
  </si>
  <si>
    <t>Valuation</t>
  </si>
  <si>
    <t>Trend</t>
  </si>
  <si>
    <t>Infrastrcuture needs</t>
  </si>
  <si>
    <t>Investments</t>
  </si>
  <si>
    <t>Index</t>
  </si>
  <si>
    <t>Base period</t>
  </si>
  <si>
    <t>AKA Slope</t>
  </si>
  <si>
    <r>
      <t xml:space="preserve">If sales in vancouver increases by 1 unit, prices in v island will increase by $10.96. </t>
    </r>
    <r>
      <rPr>
        <b/>
        <sz val="11"/>
        <color theme="1"/>
        <rFont val="Calibri"/>
        <family val="2"/>
        <scheme val="minor"/>
      </rPr>
      <t>#KAOFC</t>
    </r>
    <r>
      <rPr>
        <sz val="11"/>
        <color theme="1"/>
        <rFont val="Calibri"/>
        <family val="2"/>
        <scheme val="minor"/>
      </rPr>
      <t>.</t>
    </r>
  </si>
  <si>
    <t>Slope</t>
  </si>
  <si>
    <t>If all the other factors were zero, the prices in v island would be $497,002.</t>
  </si>
  <si>
    <t>Purpose</t>
  </si>
  <si>
    <t>S&amp;P 500</t>
  </si>
  <si>
    <t>Tesla</t>
  </si>
  <si>
    <t>USD</t>
  </si>
  <si>
    <t>Points</t>
  </si>
  <si>
    <t>NO DATA</t>
  </si>
  <si>
    <t>Exchange rate (CAD-USD)</t>
  </si>
  <si>
    <t>Housing Starts</t>
  </si>
  <si>
    <t>Housing Market indicators</t>
  </si>
  <si>
    <t>Housing Starts - Single Detached (Units)</t>
  </si>
  <si>
    <t>Housing Starts - Apartment and other (Units)</t>
  </si>
  <si>
    <t>Building permits Single (Units)</t>
  </si>
  <si>
    <t>Building permits Apartment (Units)</t>
  </si>
  <si>
    <t>Mortgage lending rate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</si>
</sst>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&quot;$&quot;* #,##0_-;\-&quot;$&quot;* #,##0_-;_-&quot;$&quot;* &quot;-&quot;??_-;_-@_-"/>
    <numFmt numFmtId="166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96">
    <xf numFmtId="0" fontId="0" fillId="0" borderId="0" xfId="0"/>
    <xf numFmtId="17" fontId="0" fillId="0" borderId="0" xfId="0" applyNumberFormat="1"/>
    <xf numFmtId="3" fontId="0" fillId="0" borderId="0" xfId="0" applyNumberFormat="1"/>
    <xf numFmtId="10" fontId="0" fillId="0" borderId="0" xfId="0" applyNumberFormat="1"/>
    <xf numFmtId="6" fontId="0" fillId="0" borderId="0" xfId="0" applyNumberFormat="1"/>
    <xf numFmtId="0" fontId="5" fillId="0" borderId="0" xfId="4"/>
    <xf numFmtId="1" fontId="0" fillId="0" borderId="0" xfId="0" applyNumberFormat="1"/>
    <xf numFmtId="10" fontId="0" fillId="0" borderId="0" xfId="5" applyNumberFormat="1" applyFont="1"/>
    <xf numFmtId="0" fontId="1" fillId="7" borderId="1" xfId="0" applyFont="1" applyFill="1" applyBorder="1"/>
    <xf numFmtId="0" fontId="0" fillId="7" borderId="1" xfId="0" applyFill="1" applyBorder="1"/>
    <xf numFmtId="0" fontId="1" fillId="6" borderId="1" xfId="0" applyFont="1" applyFill="1" applyBorder="1"/>
    <xf numFmtId="0" fontId="0" fillId="6" borderId="1" xfId="0" applyFill="1" applyBorder="1"/>
    <xf numFmtId="0" fontId="1" fillId="8" borderId="1" xfId="0" applyFont="1" applyFill="1" applyBorder="1"/>
    <xf numFmtId="0" fontId="0" fillId="8" borderId="1" xfId="0" applyFill="1" applyBorder="1"/>
    <xf numFmtId="0" fontId="1" fillId="9" borderId="1" xfId="0" applyFont="1" applyFill="1" applyBorder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7" fillId="0" borderId="0" xfId="0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9" fontId="0" fillId="0" borderId="0" xfId="5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/>
    <xf numFmtId="6" fontId="0" fillId="6" borderId="0" xfId="0" applyNumberFormat="1" applyFill="1"/>
    <xf numFmtId="0" fontId="0" fillId="0" borderId="0" xfId="0" applyAlignment="1">
      <alignment horizontal="center"/>
    </xf>
    <xf numFmtId="9" fontId="0" fillId="0" borderId="0" xfId="5" applyFont="1"/>
    <xf numFmtId="0" fontId="0" fillId="11" borderId="0" xfId="0" applyFill="1"/>
    <xf numFmtId="17" fontId="0" fillId="12" borderId="0" xfId="0" applyNumberFormat="1" applyFill="1"/>
    <xf numFmtId="6" fontId="0" fillId="12" borderId="0" xfId="0" applyNumberFormat="1" applyFill="1"/>
    <xf numFmtId="164" fontId="0" fillId="12" borderId="0" xfId="6" applyNumberFormat="1" applyFont="1" applyFill="1"/>
    <xf numFmtId="0" fontId="0" fillId="12" borderId="0" xfId="0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8" fillId="0" borderId="0" xfId="0" applyFont="1"/>
    <xf numFmtId="0" fontId="0" fillId="0" borderId="0" xfId="0" applyFill="1" applyBorder="1" applyAlignment="1"/>
    <xf numFmtId="0" fontId="0" fillId="0" borderId="3" xfId="0" applyFill="1" applyBorder="1" applyAlignment="1"/>
    <xf numFmtId="0" fontId="9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Continuous"/>
    </xf>
    <xf numFmtId="0" fontId="0" fillId="6" borderId="0" xfId="0" applyFill="1" applyBorder="1" applyAlignment="1"/>
    <xf numFmtId="0" fontId="0" fillId="6" borderId="3" xfId="0" applyFill="1" applyBorder="1" applyAlignment="1"/>
    <xf numFmtId="0" fontId="0" fillId="13" borderId="0" xfId="0" applyFill="1"/>
    <xf numFmtId="0" fontId="0" fillId="14" borderId="0" xfId="0" applyFill="1"/>
    <xf numFmtId="0" fontId="9" fillId="2" borderId="4" xfId="0" applyFont="1" applyFill="1" applyBorder="1" applyAlignment="1">
      <alignment horizontal="center"/>
    </xf>
    <xf numFmtId="0" fontId="0" fillId="2" borderId="0" xfId="0" applyFill="1" applyBorder="1" applyAlignment="1"/>
    <xf numFmtId="0" fontId="0" fillId="2" borderId="3" xfId="0" applyFill="1" applyBorder="1" applyAlignment="1"/>
    <xf numFmtId="9" fontId="0" fillId="0" borderId="0" xfId="0" applyNumberFormat="1"/>
    <xf numFmtId="0" fontId="0" fillId="7" borderId="3" xfId="0" applyFill="1" applyBorder="1" applyAlignment="1"/>
    <xf numFmtId="165" fontId="0" fillId="2" borderId="0" xfId="6" applyNumberFormat="1" applyFont="1" applyFill="1" applyBorder="1" applyAlignment="1"/>
    <xf numFmtId="165" fontId="0" fillId="6" borderId="0" xfId="6" applyNumberFormat="1" applyFont="1" applyFill="1" applyBorder="1" applyAlignment="1"/>
    <xf numFmtId="0" fontId="0" fillId="6" borderId="0" xfId="0" applyFill="1"/>
    <xf numFmtId="6" fontId="0" fillId="6" borderId="0" xfId="0" applyNumberFormat="1" applyFill="1" applyAlignment="1">
      <alignment horizontal="center"/>
    </xf>
    <xf numFmtId="10" fontId="0" fillId="6" borderId="0" xfId="5" applyNumberFormat="1" applyFont="1" applyFill="1"/>
    <xf numFmtId="6" fontId="10" fillId="0" borderId="0" xfId="0" applyNumberFormat="1" applyFont="1"/>
    <xf numFmtId="2" fontId="10" fillId="0" borderId="0" xfId="0" applyNumberFormat="1" applyFont="1"/>
    <xf numFmtId="6" fontId="0" fillId="0" borderId="0" xfId="0" applyNumberFormat="1" applyAlignment="1"/>
    <xf numFmtId="0" fontId="9" fillId="6" borderId="4" xfId="0" applyFont="1" applyFill="1" applyBorder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6" fontId="0" fillId="6" borderId="3" xfId="0" applyNumberFormat="1" applyFill="1" applyBorder="1" applyAlignment="1"/>
    <xf numFmtId="0" fontId="11" fillId="2" borderId="6" xfId="0" applyFont="1" applyFill="1" applyBorder="1" applyAlignment="1">
      <alignment horizontal="center"/>
    </xf>
    <xf numFmtId="0" fontId="1" fillId="6" borderId="7" xfId="0" applyFont="1" applyFill="1" applyBorder="1" applyAlignment="1"/>
    <xf numFmtId="0" fontId="1" fillId="6" borderId="8" xfId="0" applyFont="1" applyFill="1" applyBorder="1" applyAlignment="1"/>
    <xf numFmtId="0" fontId="11" fillId="6" borderId="6" xfId="0" applyFont="1" applyFill="1" applyBorder="1" applyAlignment="1">
      <alignment horizontal="center"/>
    </xf>
    <xf numFmtId="0" fontId="0" fillId="9" borderId="9" xfId="0" applyFill="1" applyBorder="1" applyAlignment="1"/>
    <xf numFmtId="0" fontId="0" fillId="9" borderId="10" xfId="0" applyFill="1" applyBorder="1" applyAlignment="1"/>
    <xf numFmtId="0" fontId="1" fillId="9" borderId="5" xfId="0" applyFont="1" applyFill="1" applyBorder="1" applyAlignment="1"/>
    <xf numFmtId="0" fontId="12" fillId="0" borderId="0" xfId="0" applyFont="1"/>
    <xf numFmtId="6" fontId="0" fillId="15" borderId="0" xfId="0" applyNumberFormat="1" applyFill="1"/>
    <xf numFmtId="17" fontId="0" fillId="15" borderId="0" xfId="0" applyNumberFormat="1" applyFill="1"/>
    <xf numFmtId="164" fontId="0" fillId="15" borderId="0" xfId="6" applyNumberFormat="1" applyFont="1" applyFill="1"/>
    <xf numFmtId="164" fontId="0" fillId="15" borderId="0" xfId="0" applyNumberFormat="1" applyFill="1"/>
    <xf numFmtId="2" fontId="0" fillId="15" borderId="0" xfId="0" applyNumberFormat="1" applyFill="1"/>
    <xf numFmtId="1" fontId="0" fillId="15" borderId="0" xfId="0" applyNumberFormat="1" applyFill="1"/>
    <xf numFmtId="166" fontId="0" fillId="0" borderId="0" xfId="0" applyNumberFormat="1"/>
    <xf numFmtId="1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10" borderId="1" xfId="0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0" fontId="0" fillId="10" borderId="1" xfId="5" applyNumberFormat="1" applyFont="1" applyFill="1" applyBorder="1" applyAlignment="1">
      <alignment horizontal="center"/>
    </xf>
    <xf numFmtId="10" fontId="0" fillId="0" borderId="1" xfId="5" applyNumberFormat="1" applyFont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8" fontId="0" fillId="0" borderId="1" xfId="0" applyNumberFormat="1" applyFill="1" applyBorder="1" applyAlignment="1">
      <alignment horizontal="center"/>
    </xf>
    <xf numFmtId="6" fontId="0" fillId="0" borderId="1" xfId="0" applyNumberFormat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6" fontId="0" fillId="6" borderId="1" xfId="0" applyNumberFormat="1" applyFill="1" applyBorder="1" applyAlignment="1">
      <alignment horizontal="center"/>
    </xf>
    <xf numFmtId="0" fontId="0" fillId="0" borderId="17" xfId="0" applyBorder="1" applyAlignment="1">
      <alignment horizontal="center"/>
    </xf>
    <xf numFmtId="17" fontId="0" fillId="0" borderId="19" xfId="0" applyNumberFormat="1" applyBorder="1" applyAlignment="1">
      <alignment horizontal="center"/>
    </xf>
    <xf numFmtId="17" fontId="0" fillId="0" borderId="20" xfId="0" applyNumberFormat="1" applyBorder="1" applyAlignment="1">
      <alignment horizontal="center"/>
    </xf>
    <xf numFmtId="0" fontId="0" fillId="10" borderId="21" xfId="0" applyFill="1" applyBorder="1" applyAlignment="1">
      <alignment horizontal="center"/>
    </xf>
    <xf numFmtId="0" fontId="0" fillId="10" borderId="22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10" fontId="0" fillId="10" borderId="22" xfId="5" applyNumberFormat="1" applyFont="1" applyFill="1" applyBorder="1" applyAlignment="1">
      <alignment horizontal="center"/>
    </xf>
    <xf numFmtId="10" fontId="0" fillId="0" borderId="22" xfId="5" applyNumberFormat="1" applyFont="1" applyBorder="1" applyAlignment="1">
      <alignment horizontal="center"/>
    </xf>
    <xf numFmtId="164" fontId="0" fillId="10" borderId="21" xfId="0" applyNumberFormat="1" applyFill="1" applyBorder="1" applyAlignment="1">
      <alignment horizontal="center"/>
    </xf>
    <xf numFmtId="164" fontId="0" fillId="10" borderId="22" xfId="0" applyNumberFormat="1" applyFill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5" fillId="0" borderId="21" xfId="4" applyBorder="1" applyAlignment="1">
      <alignment horizontal="center"/>
    </xf>
    <xf numFmtId="17" fontId="0" fillId="0" borderId="22" xfId="0" applyNumberFormat="1" applyBorder="1" applyAlignment="1">
      <alignment horizontal="center"/>
    </xf>
    <xf numFmtId="6" fontId="0" fillId="0" borderId="22" xfId="0" applyNumberForma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17" fontId="0" fillId="0" borderId="27" xfId="0" applyNumberFormat="1" applyBorder="1" applyAlignment="1">
      <alignment horizontal="center"/>
    </xf>
    <xf numFmtId="0" fontId="0" fillId="10" borderId="27" xfId="0" applyFill="1" applyBorder="1" applyAlignment="1">
      <alignment horizontal="center"/>
    </xf>
    <xf numFmtId="0" fontId="0" fillId="0" borderId="27" xfId="0" applyBorder="1" applyAlignment="1">
      <alignment horizontal="center"/>
    </xf>
    <xf numFmtId="10" fontId="0" fillId="10" borderId="27" xfId="5" applyNumberFormat="1" applyFont="1" applyFill="1" applyBorder="1" applyAlignment="1">
      <alignment horizontal="center"/>
    </xf>
    <xf numFmtId="10" fontId="0" fillId="0" borderId="27" xfId="5" applyNumberFormat="1" applyFont="1" applyBorder="1" applyAlignment="1">
      <alignment horizontal="center"/>
    </xf>
    <xf numFmtId="164" fontId="0" fillId="10" borderId="27" xfId="0" applyNumberFormat="1" applyFill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6" fontId="0" fillId="0" borderId="27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164" fontId="0" fillId="15" borderId="27" xfId="0" applyNumberFormat="1" applyFill="1" applyBorder="1" applyAlignment="1">
      <alignment horizontal="center"/>
    </xf>
    <xf numFmtId="164" fontId="0" fillId="15" borderId="28" xfId="0" applyNumberForma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10" fontId="0" fillId="0" borderId="22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7" fontId="0" fillId="0" borderId="1" xfId="0" applyNumberFormat="1" applyBorder="1"/>
    <xf numFmtId="0" fontId="7" fillId="0" borderId="1" xfId="0" applyFont="1" applyBorder="1"/>
    <xf numFmtId="3" fontId="0" fillId="0" borderId="1" xfId="0" applyNumberFormat="1" applyBorder="1"/>
    <xf numFmtId="2" fontId="0" fillId="0" borderId="1" xfId="0" applyNumberFormat="1" applyBorder="1"/>
    <xf numFmtId="3" fontId="7" fillId="0" borderId="1" xfId="0" applyNumberFormat="1" applyFont="1" applyBorder="1"/>
    <xf numFmtId="0" fontId="0" fillId="0" borderId="11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" xfId="0" applyBorder="1" applyAlignment="1">
      <alignment horizontal="center" vertical="center"/>
    </xf>
    <xf numFmtId="17" fontId="0" fillId="0" borderId="22" xfId="0" applyNumberFormat="1" applyBorder="1"/>
    <xf numFmtId="0" fontId="0" fillId="0" borderId="22" xfId="0" applyBorder="1"/>
    <xf numFmtId="0" fontId="7" fillId="4" borderId="22" xfId="0" applyFont="1" applyFill="1" applyBorder="1"/>
    <xf numFmtId="3" fontId="0" fillId="0" borderId="22" xfId="0" applyNumberFormat="1" applyBorder="1"/>
    <xf numFmtId="2" fontId="0" fillId="0" borderId="22" xfId="0" applyNumberFormat="1" applyBorder="1"/>
    <xf numFmtId="3" fontId="7" fillId="0" borderId="22" xfId="0" applyNumberFormat="1" applyFont="1" applyBorder="1"/>
    <xf numFmtId="0" fontId="0" fillId="6" borderId="14" xfId="0" applyFill="1" applyBorder="1" applyAlignment="1">
      <alignment horizontal="center" vertical="center"/>
    </xf>
    <xf numFmtId="0" fontId="0" fillId="0" borderId="24" xfId="0" applyBorder="1"/>
    <xf numFmtId="4" fontId="0" fillId="0" borderId="24" xfId="0" applyNumberFormat="1" applyBorder="1"/>
    <xf numFmtId="0" fontId="0" fillId="4" borderId="25" xfId="0" applyFill="1" applyBorder="1"/>
    <xf numFmtId="0" fontId="13" fillId="0" borderId="16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64" fontId="13" fillId="0" borderId="16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/>
    <xf numFmtId="3" fontId="0" fillId="0" borderId="16" xfId="0" applyNumberFormat="1" applyBorder="1"/>
    <xf numFmtId="17" fontId="0" fillId="0" borderId="16" xfId="0" applyNumberFormat="1" applyBorder="1"/>
    <xf numFmtId="0" fontId="0" fillId="0" borderId="32" xfId="0" applyBorder="1"/>
    <xf numFmtId="0" fontId="0" fillId="0" borderId="6" xfId="0" applyBorder="1"/>
    <xf numFmtId="0" fontId="0" fillId="0" borderId="33" xfId="0" applyBorder="1"/>
    <xf numFmtId="0" fontId="1" fillId="0" borderId="33" xfId="0" applyFont="1" applyBorder="1"/>
    <xf numFmtId="0" fontId="0" fillId="0" borderId="34" xfId="0" applyBorder="1"/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9" borderId="2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7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6" borderId="0" xfId="0" applyFill="1" applyAlignment="1">
      <alignment horizontal="center"/>
    </xf>
    <xf numFmtId="6" fontId="0" fillId="6" borderId="0" xfId="0" applyNumberFormat="1" applyFill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9" borderId="0" xfId="0" applyFont="1" applyFill="1" applyAlignment="1">
      <alignment horizontal="center"/>
    </xf>
  </cellXfs>
  <cellStyles count="7">
    <cellStyle name="Comma 10" xfId="2" xr:uid="{00000000-0005-0000-0000-000000000000}"/>
    <cellStyle name="Currency" xfId="6" builtinId="4"/>
    <cellStyle name="Hyperlink" xfId="4" builtinId="8"/>
    <cellStyle name="Normal" xfId="0" builtinId="0"/>
    <cellStyle name="Normal 2" xfId="1" xr:uid="{00000000-0005-0000-0000-000004000000}"/>
    <cellStyle name="Percent" xfId="5" builtinId="5"/>
    <cellStyle name="Percent 2" xfId="3" xr:uid="{00000000-0005-0000-0000-000006000000}"/>
  </cellStyles>
  <dxfs count="4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4" tint="0.79998168889431442"/>
        </patternFill>
      </fill>
    </dxf>
    <dxf>
      <fill>
        <patternFill>
          <bgColor rgb="FFFF66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colors>
    <mruColors>
      <color rgb="FF96969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Fraser Valley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Data!$A$3:$A$27</c:f>
              <c:numCache>
                <c:formatCode>mmm\-yy</c:formatCode>
                <c:ptCount val="25"/>
                <c:pt idx="0">
                  <c:v>43131</c:v>
                </c:pt>
                <c:pt idx="1">
                  <c:v>43159</c:v>
                </c:pt>
                <c:pt idx="2">
                  <c:v>43190</c:v>
                </c:pt>
                <c:pt idx="3">
                  <c:v>43220</c:v>
                </c:pt>
                <c:pt idx="4">
                  <c:v>43251</c:v>
                </c:pt>
                <c:pt idx="5">
                  <c:v>43281</c:v>
                </c:pt>
                <c:pt idx="6">
                  <c:v>43312</c:v>
                </c:pt>
                <c:pt idx="7">
                  <c:v>43343</c:v>
                </c:pt>
                <c:pt idx="8">
                  <c:v>43373</c:v>
                </c:pt>
                <c:pt idx="9">
                  <c:v>43404</c:v>
                </c:pt>
                <c:pt idx="10">
                  <c:v>43434</c:v>
                </c:pt>
                <c:pt idx="11">
                  <c:v>43465</c:v>
                </c:pt>
                <c:pt idx="12">
                  <c:v>43496</c:v>
                </c:pt>
                <c:pt idx="13">
                  <c:v>43524</c:v>
                </c:pt>
                <c:pt idx="14">
                  <c:v>43555</c:v>
                </c:pt>
                <c:pt idx="15">
                  <c:v>43585</c:v>
                </c:pt>
                <c:pt idx="16">
                  <c:v>43616</c:v>
                </c:pt>
                <c:pt idx="17">
                  <c:v>43646</c:v>
                </c:pt>
                <c:pt idx="18">
                  <c:v>43677</c:v>
                </c:pt>
                <c:pt idx="19">
                  <c:v>43708</c:v>
                </c:pt>
                <c:pt idx="20">
                  <c:v>43738</c:v>
                </c:pt>
                <c:pt idx="21">
                  <c:v>43769</c:v>
                </c:pt>
                <c:pt idx="22">
                  <c:v>43799</c:v>
                </c:pt>
                <c:pt idx="23">
                  <c:v>43830</c:v>
                </c:pt>
                <c:pt idx="24">
                  <c:v>43861</c:v>
                </c:pt>
              </c:numCache>
            </c:numRef>
          </c:cat>
          <c:val>
            <c:numRef>
              <c:f>Data!$B$3:$B$27</c:f>
              <c:numCache>
                <c:formatCode>"$"#,##0_);[Red]\("$"#,##0\)</c:formatCode>
                <c:ptCount val="25"/>
                <c:pt idx="0">
                  <c:v>370150</c:v>
                </c:pt>
                <c:pt idx="1">
                  <c:v>385000</c:v>
                </c:pt>
                <c:pt idx="2">
                  <c:v>390000</c:v>
                </c:pt>
                <c:pt idx="3">
                  <c:v>399844</c:v>
                </c:pt>
                <c:pt idx="4">
                  <c:v>400000</c:v>
                </c:pt>
                <c:pt idx="5">
                  <c:v>395000</c:v>
                </c:pt>
                <c:pt idx="6">
                  <c:v>385000</c:v>
                </c:pt>
                <c:pt idx="7">
                  <c:v>390000</c:v>
                </c:pt>
                <c:pt idx="8">
                  <c:v>385000</c:v>
                </c:pt>
                <c:pt idx="9">
                  <c:v>380000</c:v>
                </c:pt>
                <c:pt idx="10">
                  <c:v>379500</c:v>
                </c:pt>
                <c:pt idx="11">
                  <c:v>360000</c:v>
                </c:pt>
                <c:pt idx="12">
                  <c:v>372000</c:v>
                </c:pt>
                <c:pt idx="13">
                  <c:v>380000</c:v>
                </c:pt>
                <c:pt idx="14">
                  <c:v>385000</c:v>
                </c:pt>
                <c:pt idx="15">
                  <c:v>365000</c:v>
                </c:pt>
                <c:pt idx="16">
                  <c:v>369500</c:v>
                </c:pt>
                <c:pt idx="17">
                  <c:v>380000</c:v>
                </c:pt>
                <c:pt idx="18">
                  <c:v>375000</c:v>
                </c:pt>
                <c:pt idx="19">
                  <c:v>362000</c:v>
                </c:pt>
                <c:pt idx="20">
                  <c:v>370000</c:v>
                </c:pt>
                <c:pt idx="21">
                  <c:v>366000</c:v>
                </c:pt>
                <c:pt idx="22">
                  <c:v>368000</c:v>
                </c:pt>
                <c:pt idx="23">
                  <c:v>380000</c:v>
                </c:pt>
                <c:pt idx="24">
                  <c:v>371750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BD-46FB-979B-85B87D576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2507136"/>
        <c:axId val="1823418816"/>
      </c:lineChart>
      <c:dateAx>
        <c:axId val="18225071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3418816"/>
        <c:crosses val="autoZero"/>
        <c:auto val="1"/>
        <c:lblOffset val="100"/>
        <c:baseTimeUnit val="months"/>
      </c:dateAx>
      <c:valAx>
        <c:axId val="182341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507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Vancouver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Data!$A$3:$A$27</c:f>
              <c:numCache>
                <c:formatCode>mmm\-yy</c:formatCode>
                <c:ptCount val="25"/>
                <c:pt idx="0">
                  <c:v>43131</c:v>
                </c:pt>
                <c:pt idx="1">
                  <c:v>43159</c:v>
                </c:pt>
                <c:pt idx="2">
                  <c:v>43190</c:v>
                </c:pt>
                <c:pt idx="3">
                  <c:v>43220</c:v>
                </c:pt>
                <c:pt idx="4">
                  <c:v>43251</c:v>
                </c:pt>
                <c:pt idx="5">
                  <c:v>43281</c:v>
                </c:pt>
                <c:pt idx="6">
                  <c:v>43312</c:v>
                </c:pt>
                <c:pt idx="7">
                  <c:v>43343</c:v>
                </c:pt>
                <c:pt idx="8">
                  <c:v>43373</c:v>
                </c:pt>
                <c:pt idx="9">
                  <c:v>43404</c:v>
                </c:pt>
                <c:pt idx="10">
                  <c:v>43434</c:v>
                </c:pt>
                <c:pt idx="11">
                  <c:v>43465</c:v>
                </c:pt>
                <c:pt idx="12">
                  <c:v>43496</c:v>
                </c:pt>
                <c:pt idx="13">
                  <c:v>43524</c:v>
                </c:pt>
                <c:pt idx="14">
                  <c:v>43555</c:v>
                </c:pt>
                <c:pt idx="15">
                  <c:v>43585</c:v>
                </c:pt>
                <c:pt idx="16">
                  <c:v>43616</c:v>
                </c:pt>
                <c:pt idx="17">
                  <c:v>43646</c:v>
                </c:pt>
                <c:pt idx="18">
                  <c:v>43677</c:v>
                </c:pt>
                <c:pt idx="19">
                  <c:v>43708</c:v>
                </c:pt>
                <c:pt idx="20">
                  <c:v>43738</c:v>
                </c:pt>
                <c:pt idx="21">
                  <c:v>43769</c:v>
                </c:pt>
                <c:pt idx="22">
                  <c:v>43799</c:v>
                </c:pt>
                <c:pt idx="23">
                  <c:v>43830</c:v>
                </c:pt>
                <c:pt idx="24">
                  <c:v>43861</c:v>
                </c:pt>
              </c:numCache>
            </c:numRef>
          </c:cat>
          <c:val>
            <c:numRef>
              <c:f>Data!$C$3:$C$27</c:f>
              <c:numCache>
                <c:formatCode>"$"#,##0</c:formatCode>
                <c:ptCount val="25"/>
                <c:pt idx="0">
                  <c:v>665400</c:v>
                </c:pt>
                <c:pt idx="1">
                  <c:v>682800</c:v>
                </c:pt>
                <c:pt idx="2">
                  <c:v>693500</c:v>
                </c:pt>
                <c:pt idx="3">
                  <c:v>701000</c:v>
                </c:pt>
                <c:pt idx="4">
                  <c:v>701700</c:v>
                </c:pt>
                <c:pt idx="5">
                  <c:v>704200</c:v>
                </c:pt>
                <c:pt idx="6">
                  <c:v>700500</c:v>
                </c:pt>
                <c:pt idx="7">
                  <c:v>695500</c:v>
                </c:pt>
                <c:pt idx="8">
                  <c:v>687300</c:v>
                </c:pt>
                <c:pt idx="9">
                  <c:v>683500</c:v>
                </c:pt>
                <c:pt idx="10">
                  <c:v>667800</c:v>
                </c:pt>
                <c:pt idx="11">
                  <c:v>664100</c:v>
                </c:pt>
                <c:pt idx="12">
                  <c:v>658600</c:v>
                </c:pt>
                <c:pt idx="13">
                  <c:v>660300</c:v>
                </c:pt>
                <c:pt idx="14">
                  <c:v>656900</c:v>
                </c:pt>
                <c:pt idx="15">
                  <c:v>656900</c:v>
                </c:pt>
                <c:pt idx="16">
                  <c:v>664200</c:v>
                </c:pt>
                <c:pt idx="17">
                  <c:v>654700</c:v>
                </c:pt>
                <c:pt idx="18">
                  <c:v>653200</c:v>
                </c:pt>
                <c:pt idx="19">
                  <c:v>654000</c:v>
                </c:pt>
                <c:pt idx="20">
                  <c:v>651500</c:v>
                </c:pt>
                <c:pt idx="21">
                  <c:v>652500</c:v>
                </c:pt>
                <c:pt idx="22">
                  <c:v>651500</c:v>
                </c:pt>
                <c:pt idx="23">
                  <c:v>656700</c:v>
                </c:pt>
                <c:pt idx="24">
                  <c:v>663200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0E-4CD2-AE4F-2B26D05FB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2507136"/>
        <c:axId val="1823418816"/>
      </c:lineChart>
      <c:dateAx>
        <c:axId val="18225071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3418816"/>
        <c:crosses val="autoZero"/>
        <c:auto val="1"/>
        <c:lblOffset val="100"/>
        <c:baseTimeUnit val="months"/>
      </c:dateAx>
      <c:valAx>
        <c:axId val="182341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507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Fraser Valley v/s</a:t>
            </a:r>
            <a:r>
              <a:rPr lang="en-CA" baseline="0"/>
              <a:t> Vancouver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Data!$A$3:$A$27</c:f>
              <c:numCache>
                <c:formatCode>mmm\-yy</c:formatCode>
                <c:ptCount val="25"/>
                <c:pt idx="0">
                  <c:v>43131</c:v>
                </c:pt>
                <c:pt idx="1">
                  <c:v>43159</c:v>
                </c:pt>
                <c:pt idx="2">
                  <c:v>43190</c:v>
                </c:pt>
                <c:pt idx="3">
                  <c:v>43220</c:v>
                </c:pt>
                <c:pt idx="4">
                  <c:v>43251</c:v>
                </c:pt>
                <c:pt idx="5">
                  <c:v>43281</c:v>
                </c:pt>
                <c:pt idx="6">
                  <c:v>43312</c:v>
                </c:pt>
                <c:pt idx="7">
                  <c:v>43343</c:v>
                </c:pt>
                <c:pt idx="8">
                  <c:v>43373</c:v>
                </c:pt>
                <c:pt idx="9">
                  <c:v>43404</c:v>
                </c:pt>
                <c:pt idx="10">
                  <c:v>43434</c:v>
                </c:pt>
                <c:pt idx="11">
                  <c:v>43465</c:v>
                </c:pt>
                <c:pt idx="12">
                  <c:v>43496</c:v>
                </c:pt>
                <c:pt idx="13">
                  <c:v>43524</c:v>
                </c:pt>
                <c:pt idx="14">
                  <c:v>43555</c:v>
                </c:pt>
                <c:pt idx="15">
                  <c:v>43585</c:v>
                </c:pt>
                <c:pt idx="16">
                  <c:v>43616</c:v>
                </c:pt>
                <c:pt idx="17">
                  <c:v>43646</c:v>
                </c:pt>
                <c:pt idx="18">
                  <c:v>43677</c:v>
                </c:pt>
                <c:pt idx="19">
                  <c:v>43708</c:v>
                </c:pt>
                <c:pt idx="20">
                  <c:v>43738</c:v>
                </c:pt>
                <c:pt idx="21">
                  <c:v>43769</c:v>
                </c:pt>
                <c:pt idx="22">
                  <c:v>43799</c:v>
                </c:pt>
                <c:pt idx="23">
                  <c:v>43830</c:v>
                </c:pt>
                <c:pt idx="24">
                  <c:v>43861</c:v>
                </c:pt>
              </c:numCache>
            </c:numRef>
          </c:cat>
          <c:val>
            <c:numRef>
              <c:f>Data!$B$3:$B$27</c:f>
              <c:numCache>
                <c:formatCode>"$"#,##0_);[Red]\("$"#,##0\)</c:formatCode>
                <c:ptCount val="25"/>
                <c:pt idx="0">
                  <c:v>370150</c:v>
                </c:pt>
                <c:pt idx="1">
                  <c:v>385000</c:v>
                </c:pt>
                <c:pt idx="2">
                  <c:v>390000</c:v>
                </c:pt>
                <c:pt idx="3">
                  <c:v>399844</c:v>
                </c:pt>
                <c:pt idx="4">
                  <c:v>400000</c:v>
                </c:pt>
                <c:pt idx="5">
                  <c:v>395000</c:v>
                </c:pt>
                <c:pt idx="6">
                  <c:v>385000</c:v>
                </c:pt>
                <c:pt idx="7">
                  <c:v>390000</c:v>
                </c:pt>
                <c:pt idx="8">
                  <c:v>385000</c:v>
                </c:pt>
                <c:pt idx="9">
                  <c:v>380000</c:v>
                </c:pt>
                <c:pt idx="10">
                  <c:v>379500</c:v>
                </c:pt>
                <c:pt idx="11">
                  <c:v>360000</c:v>
                </c:pt>
                <c:pt idx="12">
                  <c:v>372000</c:v>
                </c:pt>
                <c:pt idx="13">
                  <c:v>380000</c:v>
                </c:pt>
                <c:pt idx="14">
                  <c:v>385000</c:v>
                </c:pt>
                <c:pt idx="15">
                  <c:v>365000</c:v>
                </c:pt>
                <c:pt idx="16">
                  <c:v>369500</c:v>
                </c:pt>
                <c:pt idx="17">
                  <c:v>380000</c:v>
                </c:pt>
                <c:pt idx="18">
                  <c:v>375000</c:v>
                </c:pt>
                <c:pt idx="19">
                  <c:v>362000</c:v>
                </c:pt>
                <c:pt idx="20">
                  <c:v>370000</c:v>
                </c:pt>
                <c:pt idx="21">
                  <c:v>366000</c:v>
                </c:pt>
                <c:pt idx="22">
                  <c:v>368000</c:v>
                </c:pt>
                <c:pt idx="23">
                  <c:v>380000</c:v>
                </c:pt>
                <c:pt idx="24">
                  <c:v>371750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59-47C0-8DCF-96CECF593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2507136"/>
        <c:axId val="1823418816"/>
      </c:line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Data!$C$3:$C$27</c:f>
              <c:numCache>
                <c:formatCode>"$"#,##0</c:formatCode>
                <c:ptCount val="25"/>
                <c:pt idx="0">
                  <c:v>665400</c:v>
                </c:pt>
                <c:pt idx="1">
                  <c:v>682800</c:v>
                </c:pt>
                <c:pt idx="2">
                  <c:v>693500</c:v>
                </c:pt>
                <c:pt idx="3">
                  <c:v>701000</c:v>
                </c:pt>
                <c:pt idx="4">
                  <c:v>701700</c:v>
                </c:pt>
                <c:pt idx="5">
                  <c:v>704200</c:v>
                </c:pt>
                <c:pt idx="6">
                  <c:v>700500</c:v>
                </c:pt>
                <c:pt idx="7">
                  <c:v>695500</c:v>
                </c:pt>
                <c:pt idx="8">
                  <c:v>687300</c:v>
                </c:pt>
                <c:pt idx="9">
                  <c:v>683500</c:v>
                </c:pt>
                <c:pt idx="10">
                  <c:v>667800</c:v>
                </c:pt>
                <c:pt idx="11">
                  <c:v>664100</c:v>
                </c:pt>
                <c:pt idx="12">
                  <c:v>658600</c:v>
                </c:pt>
                <c:pt idx="13">
                  <c:v>660300</c:v>
                </c:pt>
                <c:pt idx="14">
                  <c:v>656900</c:v>
                </c:pt>
                <c:pt idx="15">
                  <c:v>656900</c:v>
                </c:pt>
                <c:pt idx="16">
                  <c:v>664200</c:v>
                </c:pt>
                <c:pt idx="17">
                  <c:v>654700</c:v>
                </c:pt>
                <c:pt idx="18">
                  <c:v>653200</c:v>
                </c:pt>
                <c:pt idx="19">
                  <c:v>654000</c:v>
                </c:pt>
                <c:pt idx="20">
                  <c:v>651500</c:v>
                </c:pt>
                <c:pt idx="21">
                  <c:v>652500</c:v>
                </c:pt>
                <c:pt idx="22">
                  <c:v>651500</c:v>
                </c:pt>
                <c:pt idx="23">
                  <c:v>656700</c:v>
                </c:pt>
                <c:pt idx="24">
                  <c:v>663200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59-47C0-8DCF-96CECF593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3687232"/>
        <c:axId val="1819754800"/>
      </c:lineChart>
      <c:dateAx>
        <c:axId val="18225071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3418816"/>
        <c:crosses val="autoZero"/>
        <c:auto val="1"/>
        <c:lblOffset val="100"/>
        <c:baseTimeUnit val="months"/>
      </c:dateAx>
      <c:valAx>
        <c:axId val="182341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507136"/>
        <c:crosses val="autoZero"/>
        <c:crossBetween val="between"/>
      </c:valAx>
      <c:valAx>
        <c:axId val="1819754800"/>
        <c:scaling>
          <c:orientation val="minMax"/>
        </c:scaling>
        <c:delete val="0"/>
        <c:axPos val="r"/>
        <c:numFmt formatCode="&quot;$&quot;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687232"/>
        <c:crosses val="max"/>
        <c:crossBetween val="between"/>
      </c:valAx>
      <c:catAx>
        <c:axId val="1913687232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548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Data!$D$3:$D$27</c:f>
            </c:numRef>
          </c:val>
          <c:smooth val="0"/>
          <c:extLst>
            <c:ext xmlns:c16="http://schemas.microsoft.com/office/drawing/2014/chart" uri="{C3380CC4-5D6E-409C-BE32-E72D297353CC}">
              <c16:uniqueId val="{00000000-0201-49CE-AAFD-48E4CAC01F5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Data!$E$3:$E$27</c:f>
            </c:numRef>
          </c:val>
          <c:smooth val="0"/>
          <c:extLst>
            <c:ext xmlns:c16="http://schemas.microsoft.com/office/drawing/2014/chart" uri="{C3380CC4-5D6E-409C-BE32-E72D297353CC}">
              <c16:uniqueId val="{00000001-0201-49CE-AAFD-48E4CAC01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468448"/>
        <c:axId val="1974311232"/>
      </c:lineChart>
      <c:catAx>
        <c:axId val="19144684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311232"/>
        <c:crosses val="autoZero"/>
        <c:auto val="1"/>
        <c:lblAlgn val="ctr"/>
        <c:lblOffset val="100"/>
        <c:noMultiLvlLbl val="0"/>
      </c:catAx>
      <c:valAx>
        <c:axId val="197431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46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Data!$B$65:$B$70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4F-458C-84F2-081EFD8D6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9977344"/>
        <c:axId val="1659675152"/>
      </c:lineChart>
      <c:catAx>
        <c:axId val="1729977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9675152"/>
        <c:crosses val="autoZero"/>
        <c:auto val="1"/>
        <c:lblAlgn val="ctr"/>
        <c:lblOffset val="100"/>
        <c:noMultiLvlLbl val="0"/>
      </c:catAx>
      <c:valAx>
        <c:axId val="165967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977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Vancouver v/s Fraser Valley Index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Index!$D$2:$D$3</c:f>
              <c:strCache>
                <c:ptCount val="2"/>
                <c:pt idx="0">
                  <c:v>Fraser Valley</c:v>
                </c:pt>
                <c:pt idx="1">
                  <c:v>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Index!$B$4:$B$28</c:f>
              <c:numCache>
                <c:formatCode>mmm\-yy</c:formatCode>
                <c:ptCount val="25"/>
                <c:pt idx="0">
                  <c:v>43131</c:v>
                </c:pt>
                <c:pt idx="1">
                  <c:v>43159</c:v>
                </c:pt>
                <c:pt idx="2">
                  <c:v>43190</c:v>
                </c:pt>
                <c:pt idx="3">
                  <c:v>43220</c:v>
                </c:pt>
                <c:pt idx="4">
                  <c:v>43251</c:v>
                </c:pt>
                <c:pt idx="5">
                  <c:v>43281</c:v>
                </c:pt>
                <c:pt idx="6">
                  <c:v>43312</c:v>
                </c:pt>
                <c:pt idx="7">
                  <c:v>43343</c:v>
                </c:pt>
                <c:pt idx="8">
                  <c:v>43373</c:v>
                </c:pt>
                <c:pt idx="9">
                  <c:v>43404</c:v>
                </c:pt>
                <c:pt idx="10">
                  <c:v>43434</c:v>
                </c:pt>
                <c:pt idx="11">
                  <c:v>43465</c:v>
                </c:pt>
                <c:pt idx="12">
                  <c:v>43496</c:v>
                </c:pt>
                <c:pt idx="13">
                  <c:v>43524</c:v>
                </c:pt>
                <c:pt idx="14">
                  <c:v>43555</c:v>
                </c:pt>
                <c:pt idx="15">
                  <c:v>43585</c:v>
                </c:pt>
                <c:pt idx="16">
                  <c:v>43616</c:v>
                </c:pt>
                <c:pt idx="17">
                  <c:v>43646</c:v>
                </c:pt>
                <c:pt idx="18">
                  <c:v>43677</c:v>
                </c:pt>
                <c:pt idx="19">
                  <c:v>43708</c:v>
                </c:pt>
                <c:pt idx="20">
                  <c:v>43738</c:v>
                </c:pt>
                <c:pt idx="21">
                  <c:v>43769</c:v>
                </c:pt>
                <c:pt idx="22">
                  <c:v>43799</c:v>
                </c:pt>
                <c:pt idx="23">
                  <c:v>43830</c:v>
                </c:pt>
                <c:pt idx="24">
                  <c:v>43861</c:v>
                </c:pt>
              </c:numCache>
            </c:numRef>
          </c:cat>
          <c:val>
            <c:numRef>
              <c:f>Index!$D$4:$D$28</c:f>
              <c:numCache>
                <c:formatCode>0.00</c:formatCode>
                <c:ptCount val="25"/>
                <c:pt idx="0" formatCode="0">
                  <c:v>100</c:v>
                </c:pt>
                <c:pt idx="1">
                  <c:v>104.01188707280834</c:v>
                </c:pt>
                <c:pt idx="2">
                  <c:v>105.3626908010266</c:v>
                </c:pt>
                <c:pt idx="3">
                  <c:v>108.02215318114278</c:v>
                </c:pt>
                <c:pt idx="4">
                  <c:v>108.06429825746319</c:v>
                </c:pt>
                <c:pt idx="5">
                  <c:v>106.7134945292449</c:v>
                </c:pt>
                <c:pt idx="6">
                  <c:v>104.01188707280834</c:v>
                </c:pt>
                <c:pt idx="7">
                  <c:v>105.3626908010266</c:v>
                </c:pt>
                <c:pt idx="8">
                  <c:v>104.01188707280834</c:v>
                </c:pt>
                <c:pt idx="9">
                  <c:v>102.66108334459003</c:v>
                </c:pt>
                <c:pt idx="10">
                  <c:v>102.52600297176819</c:v>
                </c:pt>
                <c:pt idx="11">
                  <c:v>97.257868431716872</c:v>
                </c:pt>
                <c:pt idx="12">
                  <c:v>100.49979737944076</c:v>
                </c:pt>
                <c:pt idx="13">
                  <c:v>102.66108334459003</c:v>
                </c:pt>
                <c:pt idx="14">
                  <c:v>104.01188707280834</c:v>
                </c:pt>
                <c:pt idx="15">
                  <c:v>98.608672159935168</c:v>
                </c:pt>
                <c:pt idx="16">
                  <c:v>99.824395515331616</c:v>
                </c:pt>
                <c:pt idx="17">
                  <c:v>102.66108334459003</c:v>
                </c:pt>
                <c:pt idx="18">
                  <c:v>101.31027961637173</c:v>
                </c:pt>
                <c:pt idx="19">
                  <c:v>97.798189923004188</c:v>
                </c:pt>
                <c:pt idx="20">
                  <c:v>99.959475888153449</c:v>
                </c:pt>
                <c:pt idx="21">
                  <c:v>98.878832905578818</c:v>
                </c:pt>
                <c:pt idx="22">
                  <c:v>99.419154396866134</c:v>
                </c:pt>
                <c:pt idx="23">
                  <c:v>102.66108334459003</c:v>
                </c:pt>
                <c:pt idx="24">
                  <c:v>100.43225719302986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74-42B4-AEF1-FC15F2409B85}"/>
            </c:ext>
          </c:extLst>
        </c:ser>
        <c:ser>
          <c:idx val="3"/>
          <c:order val="3"/>
          <c:tx>
            <c:strRef>
              <c:f>Index!$F$2:$F$3</c:f>
              <c:strCache>
                <c:ptCount val="2"/>
                <c:pt idx="0">
                  <c:v>Vancouver</c:v>
                </c:pt>
                <c:pt idx="1">
                  <c:v>Index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Index!$B$4:$B$28</c:f>
              <c:numCache>
                <c:formatCode>mmm\-yy</c:formatCode>
                <c:ptCount val="25"/>
                <c:pt idx="0">
                  <c:v>43131</c:v>
                </c:pt>
                <c:pt idx="1">
                  <c:v>43159</c:v>
                </c:pt>
                <c:pt idx="2">
                  <c:v>43190</c:v>
                </c:pt>
                <c:pt idx="3">
                  <c:v>43220</c:v>
                </c:pt>
                <c:pt idx="4">
                  <c:v>43251</c:v>
                </c:pt>
                <c:pt idx="5">
                  <c:v>43281</c:v>
                </c:pt>
                <c:pt idx="6">
                  <c:v>43312</c:v>
                </c:pt>
                <c:pt idx="7">
                  <c:v>43343</c:v>
                </c:pt>
                <c:pt idx="8">
                  <c:v>43373</c:v>
                </c:pt>
                <c:pt idx="9">
                  <c:v>43404</c:v>
                </c:pt>
                <c:pt idx="10">
                  <c:v>43434</c:v>
                </c:pt>
                <c:pt idx="11">
                  <c:v>43465</c:v>
                </c:pt>
                <c:pt idx="12">
                  <c:v>43496</c:v>
                </c:pt>
                <c:pt idx="13">
                  <c:v>43524</c:v>
                </c:pt>
                <c:pt idx="14">
                  <c:v>43555</c:v>
                </c:pt>
                <c:pt idx="15">
                  <c:v>43585</c:v>
                </c:pt>
                <c:pt idx="16">
                  <c:v>43616</c:v>
                </c:pt>
                <c:pt idx="17">
                  <c:v>43646</c:v>
                </c:pt>
                <c:pt idx="18">
                  <c:v>43677</c:v>
                </c:pt>
                <c:pt idx="19">
                  <c:v>43708</c:v>
                </c:pt>
                <c:pt idx="20">
                  <c:v>43738</c:v>
                </c:pt>
                <c:pt idx="21">
                  <c:v>43769</c:v>
                </c:pt>
                <c:pt idx="22">
                  <c:v>43799</c:v>
                </c:pt>
                <c:pt idx="23">
                  <c:v>43830</c:v>
                </c:pt>
                <c:pt idx="24">
                  <c:v>43861</c:v>
                </c:pt>
              </c:numCache>
            </c:numRef>
          </c:cat>
          <c:val>
            <c:numRef>
              <c:f>Index!$F$4:$F$28</c:f>
              <c:numCache>
                <c:formatCode>0.00</c:formatCode>
                <c:ptCount val="25"/>
                <c:pt idx="0">
                  <c:v>100</c:v>
                </c:pt>
                <c:pt idx="1">
                  <c:v>102.61496844003605</c:v>
                </c:pt>
                <c:pt idx="2">
                  <c:v>104.22302374511571</c:v>
                </c:pt>
                <c:pt idx="3">
                  <c:v>105.35016531409678</c:v>
                </c:pt>
                <c:pt idx="4">
                  <c:v>105.45536519386836</c:v>
                </c:pt>
                <c:pt idx="5">
                  <c:v>105.83107905019537</c:v>
                </c:pt>
                <c:pt idx="6">
                  <c:v>105.27502254283138</c:v>
                </c:pt>
                <c:pt idx="7">
                  <c:v>104.52359483017734</c:v>
                </c:pt>
                <c:pt idx="8">
                  <c:v>103.29125338142471</c:v>
                </c:pt>
                <c:pt idx="9">
                  <c:v>102.72016831980764</c:v>
                </c:pt>
                <c:pt idx="10">
                  <c:v>100.36068530207393</c:v>
                </c:pt>
                <c:pt idx="11">
                  <c:v>99.804628794709942</c:v>
                </c:pt>
                <c:pt idx="12">
                  <c:v>98.978058310790502</c:v>
                </c:pt>
                <c:pt idx="13">
                  <c:v>99.233543733092873</c:v>
                </c:pt>
                <c:pt idx="14">
                  <c:v>98.722572888488131</c:v>
                </c:pt>
                <c:pt idx="15">
                  <c:v>98.722572888488131</c:v>
                </c:pt>
                <c:pt idx="16">
                  <c:v>99.819657348963034</c:v>
                </c:pt>
                <c:pt idx="17">
                  <c:v>98.391944694920355</c:v>
                </c:pt>
                <c:pt idx="18">
                  <c:v>98.16651638112414</c:v>
                </c:pt>
                <c:pt idx="19">
                  <c:v>98.286744815148779</c:v>
                </c:pt>
                <c:pt idx="20">
                  <c:v>97.911030958821769</c:v>
                </c:pt>
                <c:pt idx="21">
                  <c:v>98.061316501352565</c:v>
                </c:pt>
                <c:pt idx="22">
                  <c:v>97.911030958821769</c:v>
                </c:pt>
                <c:pt idx="23">
                  <c:v>98.692515779981974</c:v>
                </c:pt>
                <c:pt idx="24">
                  <c:v>99.66937180643221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74-42B4-AEF1-FC15F2409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9163391"/>
        <c:axId val="4271763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Index!$C$2:$C$3</c15:sqref>
                        </c15:formulaRef>
                      </c:ext>
                    </c:extLst>
                    <c:strCache>
                      <c:ptCount val="2"/>
                      <c:pt idx="0">
                        <c:v>Fraser Valley</c:v>
                      </c:pt>
                      <c:pt idx="1">
                        <c:v>Median Apartment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Index!$B$4:$B$28</c15:sqref>
                        </c15:formulaRef>
                      </c:ext>
                    </c:extLst>
                    <c:numCache>
                      <c:formatCode>mmm\-yy</c:formatCode>
                      <c:ptCount val="25"/>
                      <c:pt idx="0">
                        <c:v>43131</c:v>
                      </c:pt>
                      <c:pt idx="1">
                        <c:v>43159</c:v>
                      </c:pt>
                      <c:pt idx="2">
                        <c:v>43190</c:v>
                      </c:pt>
                      <c:pt idx="3">
                        <c:v>43220</c:v>
                      </c:pt>
                      <c:pt idx="4">
                        <c:v>43251</c:v>
                      </c:pt>
                      <c:pt idx="5">
                        <c:v>43281</c:v>
                      </c:pt>
                      <c:pt idx="6">
                        <c:v>43312</c:v>
                      </c:pt>
                      <c:pt idx="7">
                        <c:v>43343</c:v>
                      </c:pt>
                      <c:pt idx="8">
                        <c:v>43373</c:v>
                      </c:pt>
                      <c:pt idx="9">
                        <c:v>43404</c:v>
                      </c:pt>
                      <c:pt idx="10">
                        <c:v>43434</c:v>
                      </c:pt>
                      <c:pt idx="11">
                        <c:v>43465</c:v>
                      </c:pt>
                      <c:pt idx="12">
                        <c:v>43496</c:v>
                      </c:pt>
                      <c:pt idx="13">
                        <c:v>43524</c:v>
                      </c:pt>
                      <c:pt idx="14">
                        <c:v>43555</c:v>
                      </c:pt>
                      <c:pt idx="15">
                        <c:v>43585</c:v>
                      </c:pt>
                      <c:pt idx="16">
                        <c:v>43616</c:v>
                      </c:pt>
                      <c:pt idx="17">
                        <c:v>43646</c:v>
                      </c:pt>
                      <c:pt idx="18">
                        <c:v>43677</c:v>
                      </c:pt>
                      <c:pt idx="19">
                        <c:v>43708</c:v>
                      </c:pt>
                      <c:pt idx="20">
                        <c:v>43738</c:v>
                      </c:pt>
                      <c:pt idx="21">
                        <c:v>43769</c:v>
                      </c:pt>
                      <c:pt idx="22">
                        <c:v>43799</c:v>
                      </c:pt>
                      <c:pt idx="23">
                        <c:v>43830</c:v>
                      </c:pt>
                      <c:pt idx="24">
                        <c:v>43861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Index!$C$4:$C$28</c15:sqref>
                        </c15:formulaRef>
                      </c:ext>
                    </c:extLst>
                    <c:numCache>
                      <c:formatCode>"$"#,##0_);[Red]\("$"#,##0\)</c:formatCode>
                      <c:ptCount val="25"/>
                      <c:pt idx="0">
                        <c:v>370150</c:v>
                      </c:pt>
                      <c:pt idx="1">
                        <c:v>385000</c:v>
                      </c:pt>
                      <c:pt idx="2">
                        <c:v>390000</c:v>
                      </c:pt>
                      <c:pt idx="3">
                        <c:v>399844</c:v>
                      </c:pt>
                      <c:pt idx="4">
                        <c:v>400000</c:v>
                      </c:pt>
                      <c:pt idx="5">
                        <c:v>395000</c:v>
                      </c:pt>
                      <c:pt idx="6">
                        <c:v>385000</c:v>
                      </c:pt>
                      <c:pt idx="7">
                        <c:v>390000</c:v>
                      </c:pt>
                      <c:pt idx="8">
                        <c:v>385000</c:v>
                      </c:pt>
                      <c:pt idx="9">
                        <c:v>380000</c:v>
                      </c:pt>
                      <c:pt idx="10">
                        <c:v>379500</c:v>
                      </c:pt>
                      <c:pt idx="11">
                        <c:v>360000</c:v>
                      </c:pt>
                      <c:pt idx="12">
                        <c:v>372000</c:v>
                      </c:pt>
                      <c:pt idx="13">
                        <c:v>380000</c:v>
                      </c:pt>
                      <c:pt idx="14">
                        <c:v>385000</c:v>
                      </c:pt>
                      <c:pt idx="15">
                        <c:v>365000</c:v>
                      </c:pt>
                      <c:pt idx="16">
                        <c:v>369500</c:v>
                      </c:pt>
                      <c:pt idx="17">
                        <c:v>380000</c:v>
                      </c:pt>
                      <c:pt idx="18">
                        <c:v>375000</c:v>
                      </c:pt>
                      <c:pt idx="19">
                        <c:v>362000</c:v>
                      </c:pt>
                      <c:pt idx="20">
                        <c:v>370000</c:v>
                      </c:pt>
                      <c:pt idx="21">
                        <c:v>366000</c:v>
                      </c:pt>
                      <c:pt idx="22">
                        <c:v>368000</c:v>
                      </c:pt>
                      <c:pt idx="23">
                        <c:v>380000</c:v>
                      </c:pt>
                      <c:pt idx="24">
                        <c:v>371750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BC74-42B4-AEF1-FC15F2409B85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Index!$E$2:$E$3</c15:sqref>
                        </c15:formulaRef>
                      </c:ext>
                    </c:extLst>
                    <c:strCache>
                      <c:ptCount val="2"/>
                      <c:pt idx="0">
                        <c:v>Vancouver</c:v>
                      </c:pt>
                      <c:pt idx="1">
                        <c:v>Avg Apartment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Index!$B$4:$B$28</c15:sqref>
                        </c15:formulaRef>
                      </c:ext>
                    </c:extLst>
                    <c:numCache>
                      <c:formatCode>mmm\-yy</c:formatCode>
                      <c:ptCount val="25"/>
                      <c:pt idx="0">
                        <c:v>43131</c:v>
                      </c:pt>
                      <c:pt idx="1">
                        <c:v>43159</c:v>
                      </c:pt>
                      <c:pt idx="2">
                        <c:v>43190</c:v>
                      </c:pt>
                      <c:pt idx="3">
                        <c:v>43220</c:v>
                      </c:pt>
                      <c:pt idx="4">
                        <c:v>43251</c:v>
                      </c:pt>
                      <c:pt idx="5">
                        <c:v>43281</c:v>
                      </c:pt>
                      <c:pt idx="6">
                        <c:v>43312</c:v>
                      </c:pt>
                      <c:pt idx="7">
                        <c:v>43343</c:v>
                      </c:pt>
                      <c:pt idx="8">
                        <c:v>43373</c:v>
                      </c:pt>
                      <c:pt idx="9">
                        <c:v>43404</c:v>
                      </c:pt>
                      <c:pt idx="10">
                        <c:v>43434</c:v>
                      </c:pt>
                      <c:pt idx="11">
                        <c:v>43465</c:v>
                      </c:pt>
                      <c:pt idx="12">
                        <c:v>43496</c:v>
                      </c:pt>
                      <c:pt idx="13">
                        <c:v>43524</c:v>
                      </c:pt>
                      <c:pt idx="14">
                        <c:v>43555</c:v>
                      </c:pt>
                      <c:pt idx="15">
                        <c:v>43585</c:v>
                      </c:pt>
                      <c:pt idx="16">
                        <c:v>43616</c:v>
                      </c:pt>
                      <c:pt idx="17">
                        <c:v>43646</c:v>
                      </c:pt>
                      <c:pt idx="18">
                        <c:v>43677</c:v>
                      </c:pt>
                      <c:pt idx="19">
                        <c:v>43708</c:v>
                      </c:pt>
                      <c:pt idx="20">
                        <c:v>43738</c:v>
                      </c:pt>
                      <c:pt idx="21">
                        <c:v>43769</c:v>
                      </c:pt>
                      <c:pt idx="22">
                        <c:v>43799</c:v>
                      </c:pt>
                      <c:pt idx="23">
                        <c:v>43830</c:v>
                      </c:pt>
                      <c:pt idx="24">
                        <c:v>43861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Index!$E$4:$E$28</c15:sqref>
                        </c15:formulaRef>
                      </c:ext>
                    </c:extLst>
                    <c:numCache>
                      <c:formatCode>"$"#,##0</c:formatCode>
                      <c:ptCount val="25"/>
                      <c:pt idx="0">
                        <c:v>665400</c:v>
                      </c:pt>
                      <c:pt idx="1">
                        <c:v>682800</c:v>
                      </c:pt>
                      <c:pt idx="2">
                        <c:v>693500</c:v>
                      </c:pt>
                      <c:pt idx="3">
                        <c:v>701000</c:v>
                      </c:pt>
                      <c:pt idx="4">
                        <c:v>701700</c:v>
                      </c:pt>
                      <c:pt idx="5">
                        <c:v>704200</c:v>
                      </c:pt>
                      <c:pt idx="6">
                        <c:v>700500</c:v>
                      </c:pt>
                      <c:pt idx="7">
                        <c:v>695500</c:v>
                      </c:pt>
                      <c:pt idx="8">
                        <c:v>687300</c:v>
                      </c:pt>
                      <c:pt idx="9">
                        <c:v>683500</c:v>
                      </c:pt>
                      <c:pt idx="10">
                        <c:v>667800</c:v>
                      </c:pt>
                      <c:pt idx="11">
                        <c:v>664100</c:v>
                      </c:pt>
                      <c:pt idx="12">
                        <c:v>658600</c:v>
                      </c:pt>
                      <c:pt idx="13">
                        <c:v>660300</c:v>
                      </c:pt>
                      <c:pt idx="14">
                        <c:v>656900</c:v>
                      </c:pt>
                      <c:pt idx="15">
                        <c:v>656900</c:v>
                      </c:pt>
                      <c:pt idx="16">
                        <c:v>664200</c:v>
                      </c:pt>
                      <c:pt idx="17">
                        <c:v>654700</c:v>
                      </c:pt>
                      <c:pt idx="18">
                        <c:v>653200</c:v>
                      </c:pt>
                      <c:pt idx="19">
                        <c:v>654000</c:v>
                      </c:pt>
                      <c:pt idx="20">
                        <c:v>651500</c:v>
                      </c:pt>
                      <c:pt idx="21">
                        <c:v>652500</c:v>
                      </c:pt>
                      <c:pt idx="22">
                        <c:v>651500</c:v>
                      </c:pt>
                      <c:pt idx="23">
                        <c:v>656700</c:v>
                      </c:pt>
                      <c:pt idx="24">
                        <c:v>663200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C74-42B4-AEF1-FC15F2409B85}"/>
                  </c:ext>
                </c:extLst>
              </c15:ser>
            </c15:filteredLineSeries>
          </c:ext>
        </c:extLst>
      </c:lineChart>
      <c:dateAx>
        <c:axId val="239163391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17631"/>
        <c:crosses val="autoZero"/>
        <c:auto val="1"/>
        <c:lblOffset val="100"/>
        <c:baseTimeUnit val="months"/>
      </c:dateAx>
      <c:valAx>
        <c:axId val="4271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163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Vancouver v/s Fraser Valley prices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Index!$C$2:$C$3</c:f>
              <c:strCache>
                <c:ptCount val="2"/>
                <c:pt idx="0">
                  <c:v>Fraser Valley</c:v>
                </c:pt>
                <c:pt idx="1">
                  <c:v>Median Apartment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Index!$B$4:$B$28</c:f>
              <c:numCache>
                <c:formatCode>mmm\-yy</c:formatCode>
                <c:ptCount val="25"/>
                <c:pt idx="0">
                  <c:v>43131</c:v>
                </c:pt>
                <c:pt idx="1">
                  <c:v>43159</c:v>
                </c:pt>
                <c:pt idx="2">
                  <c:v>43190</c:v>
                </c:pt>
                <c:pt idx="3">
                  <c:v>43220</c:v>
                </c:pt>
                <c:pt idx="4">
                  <c:v>43251</c:v>
                </c:pt>
                <c:pt idx="5">
                  <c:v>43281</c:v>
                </c:pt>
                <c:pt idx="6">
                  <c:v>43312</c:v>
                </c:pt>
                <c:pt idx="7">
                  <c:v>43343</c:v>
                </c:pt>
                <c:pt idx="8">
                  <c:v>43373</c:v>
                </c:pt>
                <c:pt idx="9">
                  <c:v>43404</c:v>
                </c:pt>
                <c:pt idx="10">
                  <c:v>43434</c:v>
                </c:pt>
                <c:pt idx="11">
                  <c:v>43465</c:v>
                </c:pt>
                <c:pt idx="12">
                  <c:v>43496</c:v>
                </c:pt>
                <c:pt idx="13">
                  <c:v>43524</c:v>
                </c:pt>
                <c:pt idx="14">
                  <c:v>43555</c:v>
                </c:pt>
                <c:pt idx="15">
                  <c:v>43585</c:v>
                </c:pt>
                <c:pt idx="16">
                  <c:v>43616</c:v>
                </c:pt>
                <c:pt idx="17">
                  <c:v>43646</c:v>
                </c:pt>
                <c:pt idx="18">
                  <c:v>43677</c:v>
                </c:pt>
                <c:pt idx="19">
                  <c:v>43708</c:v>
                </c:pt>
                <c:pt idx="20">
                  <c:v>43738</c:v>
                </c:pt>
                <c:pt idx="21">
                  <c:v>43769</c:v>
                </c:pt>
                <c:pt idx="22">
                  <c:v>43799</c:v>
                </c:pt>
                <c:pt idx="23">
                  <c:v>43830</c:v>
                </c:pt>
                <c:pt idx="24">
                  <c:v>43861</c:v>
                </c:pt>
              </c:numCache>
              <c:extLst xmlns:c15="http://schemas.microsoft.com/office/drawing/2012/chart"/>
            </c:numRef>
          </c:cat>
          <c:val>
            <c:numRef>
              <c:f>Index!$C$4:$C$28</c:f>
              <c:numCache>
                <c:formatCode>"$"#,##0_);[Red]\("$"#,##0\)</c:formatCode>
                <c:ptCount val="25"/>
                <c:pt idx="0">
                  <c:v>370150</c:v>
                </c:pt>
                <c:pt idx="1">
                  <c:v>385000</c:v>
                </c:pt>
                <c:pt idx="2">
                  <c:v>390000</c:v>
                </c:pt>
                <c:pt idx="3">
                  <c:v>399844</c:v>
                </c:pt>
                <c:pt idx="4">
                  <c:v>400000</c:v>
                </c:pt>
                <c:pt idx="5">
                  <c:v>395000</c:v>
                </c:pt>
                <c:pt idx="6">
                  <c:v>385000</c:v>
                </c:pt>
                <c:pt idx="7">
                  <c:v>390000</c:v>
                </c:pt>
                <c:pt idx="8">
                  <c:v>385000</c:v>
                </c:pt>
                <c:pt idx="9">
                  <c:v>380000</c:v>
                </c:pt>
                <c:pt idx="10">
                  <c:v>379500</c:v>
                </c:pt>
                <c:pt idx="11">
                  <c:v>360000</c:v>
                </c:pt>
                <c:pt idx="12">
                  <c:v>372000</c:v>
                </c:pt>
                <c:pt idx="13">
                  <c:v>380000</c:v>
                </c:pt>
                <c:pt idx="14">
                  <c:v>385000</c:v>
                </c:pt>
                <c:pt idx="15">
                  <c:v>365000</c:v>
                </c:pt>
                <c:pt idx="16">
                  <c:v>369500</c:v>
                </c:pt>
                <c:pt idx="17">
                  <c:v>380000</c:v>
                </c:pt>
                <c:pt idx="18">
                  <c:v>375000</c:v>
                </c:pt>
                <c:pt idx="19">
                  <c:v>362000</c:v>
                </c:pt>
                <c:pt idx="20">
                  <c:v>370000</c:v>
                </c:pt>
                <c:pt idx="21">
                  <c:v>366000</c:v>
                </c:pt>
                <c:pt idx="22">
                  <c:v>368000</c:v>
                </c:pt>
                <c:pt idx="23">
                  <c:v>380000</c:v>
                </c:pt>
                <c:pt idx="24">
                  <c:v>371750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2-B0F4-49C0-8190-9288F823ABF6}"/>
            </c:ext>
          </c:extLst>
        </c:ser>
        <c:ser>
          <c:idx val="2"/>
          <c:order val="2"/>
          <c:tx>
            <c:strRef>
              <c:f>Index!$E$2:$E$3</c:f>
              <c:strCache>
                <c:ptCount val="2"/>
                <c:pt idx="0">
                  <c:v>Vancouver</c:v>
                </c:pt>
                <c:pt idx="1">
                  <c:v>Avg Apartment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Index!$B$4:$B$28</c:f>
              <c:numCache>
                <c:formatCode>mmm\-yy</c:formatCode>
                <c:ptCount val="25"/>
                <c:pt idx="0">
                  <c:v>43131</c:v>
                </c:pt>
                <c:pt idx="1">
                  <c:v>43159</c:v>
                </c:pt>
                <c:pt idx="2">
                  <c:v>43190</c:v>
                </c:pt>
                <c:pt idx="3">
                  <c:v>43220</c:v>
                </c:pt>
                <c:pt idx="4">
                  <c:v>43251</c:v>
                </c:pt>
                <c:pt idx="5">
                  <c:v>43281</c:v>
                </c:pt>
                <c:pt idx="6">
                  <c:v>43312</c:v>
                </c:pt>
                <c:pt idx="7">
                  <c:v>43343</c:v>
                </c:pt>
                <c:pt idx="8">
                  <c:v>43373</c:v>
                </c:pt>
                <c:pt idx="9">
                  <c:v>43404</c:v>
                </c:pt>
                <c:pt idx="10">
                  <c:v>43434</c:v>
                </c:pt>
                <c:pt idx="11">
                  <c:v>43465</c:v>
                </c:pt>
                <c:pt idx="12">
                  <c:v>43496</c:v>
                </c:pt>
                <c:pt idx="13">
                  <c:v>43524</c:v>
                </c:pt>
                <c:pt idx="14">
                  <c:v>43555</c:v>
                </c:pt>
                <c:pt idx="15">
                  <c:v>43585</c:v>
                </c:pt>
                <c:pt idx="16">
                  <c:v>43616</c:v>
                </c:pt>
                <c:pt idx="17">
                  <c:v>43646</c:v>
                </c:pt>
                <c:pt idx="18">
                  <c:v>43677</c:v>
                </c:pt>
                <c:pt idx="19">
                  <c:v>43708</c:v>
                </c:pt>
                <c:pt idx="20">
                  <c:v>43738</c:v>
                </c:pt>
                <c:pt idx="21">
                  <c:v>43769</c:v>
                </c:pt>
                <c:pt idx="22">
                  <c:v>43799</c:v>
                </c:pt>
                <c:pt idx="23">
                  <c:v>43830</c:v>
                </c:pt>
                <c:pt idx="24">
                  <c:v>43861</c:v>
                </c:pt>
              </c:numCache>
              <c:extLst xmlns:c15="http://schemas.microsoft.com/office/drawing/2012/chart"/>
            </c:numRef>
          </c:cat>
          <c:val>
            <c:numRef>
              <c:f>Index!$E$4:$E$28</c:f>
              <c:numCache>
                <c:formatCode>"$"#,##0</c:formatCode>
                <c:ptCount val="25"/>
                <c:pt idx="0">
                  <c:v>665400</c:v>
                </c:pt>
                <c:pt idx="1">
                  <c:v>682800</c:v>
                </c:pt>
                <c:pt idx="2">
                  <c:v>693500</c:v>
                </c:pt>
                <c:pt idx="3">
                  <c:v>701000</c:v>
                </c:pt>
                <c:pt idx="4">
                  <c:v>701700</c:v>
                </c:pt>
                <c:pt idx="5">
                  <c:v>704200</c:v>
                </c:pt>
                <c:pt idx="6">
                  <c:v>700500</c:v>
                </c:pt>
                <c:pt idx="7">
                  <c:v>695500</c:v>
                </c:pt>
                <c:pt idx="8">
                  <c:v>687300</c:v>
                </c:pt>
                <c:pt idx="9">
                  <c:v>683500</c:v>
                </c:pt>
                <c:pt idx="10">
                  <c:v>667800</c:v>
                </c:pt>
                <c:pt idx="11">
                  <c:v>664100</c:v>
                </c:pt>
                <c:pt idx="12">
                  <c:v>658600</c:v>
                </c:pt>
                <c:pt idx="13">
                  <c:v>660300</c:v>
                </c:pt>
                <c:pt idx="14">
                  <c:v>656900</c:v>
                </c:pt>
                <c:pt idx="15">
                  <c:v>656900</c:v>
                </c:pt>
                <c:pt idx="16">
                  <c:v>664200</c:v>
                </c:pt>
                <c:pt idx="17">
                  <c:v>654700</c:v>
                </c:pt>
                <c:pt idx="18">
                  <c:v>653200</c:v>
                </c:pt>
                <c:pt idx="19">
                  <c:v>654000</c:v>
                </c:pt>
                <c:pt idx="20">
                  <c:v>651500</c:v>
                </c:pt>
                <c:pt idx="21">
                  <c:v>652500</c:v>
                </c:pt>
                <c:pt idx="22">
                  <c:v>651500</c:v>
                </c:pt>
                <c:pt idx="23">
                  <c:v>656700</c:v>
                </c:pt>
                <c:pt idx="24">
                  <c:v>663200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3-B0F4-49C0-8190-9288F823A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9163391"/>
        <c:axId val="42717631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Index!$D$2:$D$3</c15:sqref>
                        </c15:formulaRef>
                      </c:ext>
                    </c:extLst>
                    <c:strCache>
                      <c:ptCount val="2"/>
                      <c:pt idx="0">
                        <c:v>Fraser Valley</c:v>
                      </c:pt>
                      <c:pt idx="1">
                        <c:v>Index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Index!$B$4:$B$28</c15:sqref>
                        </c15:formulaRef>
                      </c:ext>
                    </c:extLst>
                    <c:numCache>
                      <c:formatCode>mmm\-yy</c:formatCode>
                      <c:ptCount val="25"/>
                      <c:pt idx="0">
                        <c:v>43131</c:v>
                      </c:pt>
                      <c:pt idx="1">
                        <c:v>43159</c:v>
                      </c:pt>
                      <c:pt idx="2">
                        <c:v>43190</c:v>
                      </c:pt>
                      <c:pt idx="3">
                        <c:v>43220</c:v>
                      </c:pt>
                      <c:pt idx="4">
                        <c:v>43251</c:v>
                      </c:pt>
                      <c:pt idx="5">
                        <c:v>43281</c:v>
                      </c:pt>
                      <c:pt idx="6">
                        <c:v>43312</c:v>
                      </c:pt>
                      <c:pt idx="7">
                        <c:v>43343</c:v>
                      </c:pt>
                      <c:pt idx="8">
                        <c:v>43373</c:v>
                      </c:pt>
                      <c:pt idx="9">
                        <c:v>43404</c:v>
                      </c:pt>
                      <c:pt idx="10">
                        <c:v>43434</c:v>
                      </c:pt>
                      <c:pt idx="11">
                        <c:v>43465</c:v>
                      </c:pt>
                      <c:pt idx="12">
                        <c:v>43496</c:v>
                      </c:pt>
                      <c:pt idx="13">
                        <c:v>43524</c:v>
                      </c:pt>
                      <c:pt idx="14">
                        <c:v>43555</c:v>
                      </c:pt>
                      <c:pt idx="15">
                        <c:v>43585</c:v>
                      </c:pt>
                      <c:pt idx="16">
                        <c:v>43616</c:v>
                      </c:pt>
                      <c:pt idx="17">
                        <c:v>43646</c:v>
                      </c:pt>
                      <c:pt idx="18">
                        <c:v>43677</c:v>
                      </c:pt>
                      <c:pt idx="19">
                        <c:v>43708</c:v>
                      </c:pt>
                      <c:pt idx="20">
                        <c:v>43738</c:v>
                      </c:pt>
                      <c:pt idx="21">
                        <c:v>43769</c:v>
                      </c:pt>
                      <c:pt idx="22">
                        <c:v>43799</c:v>
                      </c:pt>
                      <c:pt idx="23">
                        <c:v>43830</c:v>
                      </c:pt>
                      <c:pt idx="24">
                        <c:v>43861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Index!$D$4:$D$28</c15:sqref>
                        </c15:formulaRef>
                      </c:ext>
                    </c:extLst>
                    <c:numCache>
                      <c:formatCode>0.00</c:formatCode>
                      <c:ptCount val="25"/>
                      <c:pt idx="0" formatCode="0">
                        <c:v>100</c:v>
                      </c:pt>
                      <c:pt idx="1">
                        <c:v>104.01188707280834</c:v>
                      </c:pt>
                      <c:pt idx="2">
                        <c:v>105.3626908010266</c:v>
                      </c:pt>
                      <c:pt idx="3">
                        <c:v>108.02215318114278</c:v>
                      </c:pt>
                      <c:pt idx="4">
                        <c:v>108.06429825746319</c:v>
                      </c:pt>
                      <c:pt idx="5">
                        <c:v>106.7134945292449</c:v>
                      </c:pt>
                      <c:pt idx="6">
                        <c:v>104.01188707280834</c:v>
                      </c:pt>
                      <c:pt idx="7">
                        <c:v>105.3626908010266</c:v>
                      </c:pt>
                      <c:pt idx="8">
                        <c:v>104.01188707280834</c:v>
                      </c:pt>
                      <c:pt idx="9">
                        <c:v>102.66108334459003</c:v>
                      </c:pt>
                      <c:pt idx="10">
                        <c:v>102.52600297176819</c:v>
                      </c:pt>
                      <c:pt idx="11">
                        <c:v>97.257868431716872</c:v>
                      </c:pt>
                      <c:pt idx="12">
                        <c:v>100.49979737944076</c:v>
                      </c:pt>
                      <c:pt idx="13">
                        <c:v>102.66108334459003</c:v>
                      </c:pt>
                      <c:pt idx="14">
                        <c:v>104.01188707280834</c:v>
                      </c:pt>
                      <c:pt idx="15">
                        <c:v>98.608672159935168</c:v>
                      </c:pt>
                      <c:pt idx="16">
                        <c:v>99.824395515331616</c:v>
                      </c:pt>
                      <c:pt idx="17">
                        <c:v>102.66108334459003</c:v>
                      </c:pt>
                      <c:pt idx="18">
                        <c:v>101.31027961637173</c:v>
                      </c:pt>
                      <c:pt idx="19">
                        <c:v>97.798189923004188</c:v>
                      </c:pt>
                      <c:pt idx="20">
                        <c:v>99.959475888153449</c:v>
                      </c:pt>
                      <c:pt idx="21">
                        <c:v>98.878832905578818</c:v>
                      </c:pt>
                      <c:pt idx="22">
                        <c:v>99.419154396866134</c:v>
                      </c:pt>
                      <c:pt idx="23">
                        <c:v>102.66108334459003</c:v>
                      </c:pt>
                      <c:pt idx="24">
                        <c:v>100.43225719302986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B0F4-49C0-8190-9288F823ABF6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Index!$F$2:$F$3</c15:sqref>
                        </c15:formulaRef>
                      </c:ext>
                    </c:extLst>
                    <c:strCache>
                      <c:ptCount val="2"/>
                      <c:pt idx="0">
                        <c:v>Vancouver</c:v>
                      </c:pt>
                      <c:pt idx="1">
                        <c:v>Index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Index!$B$4:$B$28</c15:sqref>
                        </c15:formulaRef>
                      </c:ext>
                    </c:extLst>
                    <c:numCache>
                      <c:formatCode>mmm\-yy</c:formatCode>
                      <c:ptCount val="25"/>
                      <c:pt idx="0">
                        <c:v>43131</c:v>
                      </c:pt>
                      <c:pt idx="1">
                        <c:v>43159</c:v>
                      </c:pt>
                      <c:pt idx="2">
                        <c:v>43190</c:v>
                      </c:pt>
                      <c:pt idx="3">
                        <c:v>43220</c:v>
                      </c:pt>
                      <c:pt idx="4">
                        <c:v>43251</c:v>
                      </c:pt>
                      <c:pt idx="5">
                        <c:v>43281</c:v>
                      </c:pt>
                      <c:pt idx="6">
                        <c:v>43312</c:v>
                      </c:pt>
                      <c:pt idx="7">
                        <c:v>43343</c:v>
                      </c:pt>
                      <c:pt idx="8">
                        <c:v>43373</c:v>
                      </c:pt>
                      <c:pt idx="9">
                        <c:v>43404</c:v>
                      </c:pt>
                      <c:pt idx="10">
                        <c:v>43434</c:v>
                      </c:pt>
                      <c:pt idx="11">
                        <c:v>43465</c:v>
                      </c:pt>
                      <c:pt idx="12">
                        <c:v>43496</c:v>
                      </c:pt>
                      <c:pt idx="13">
                        <c:v>43524</c:v>
                      </c:pt>
                      <c:pt idx="14">
                        <c:v>43555</c:v>
                      </c:pt>
                      <c:pt idx="15">
                        <c:v>43585</c:v>
                      </c:pt>
                      <c:pt idx="16">
                        <c:v>43616</c:v>
                      </c:pt>
                      <c:pt idx="17">
                        <c:v>43646</c:v>
                      </c:pt>
                      <c:pt idx="18">
                        <c:v>43677</c:v>
                      </c:pt>
                      <c:pt idx="19">
                        <c:v>43708</c:v>
                      </c:pt>
                      <c:pt idx="20">
                        <c:v>43738</c:v>
                      </c:pt>
                      <c:pt idx="21">
                        <c:v>43769</c:v>
                      </c:pt>
                      <c:pt idx="22">
                        <c:v>43799</c:v>
                      </c:pt>
                      <c:pt idx="23">
                        <c:v>43830</c:v>
                      </c:pt>
                      <c:pt idx="24">
                        <c:v>43861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Index!$F$4:$F$28</c15:sqref>
                        </c15:formulaRef>
                      </c:ext>
                    </c:extLst>
                    <c:numCache>
                      <c:formatCode>0.00</c:formatCode>
                      <c:ptCount val="25"/>
                      <c:pt idx="0">
                        <c:v>100</c:v>
                      </c:pt>
                      <c:pt idx="1">
                        <c:v>102.61496844003605</c:v>
                      </c:pt>
                      <c:pt idx="2">
                        <c:v>104.22302374511571</c:v>
                      </c:pt>
                      <c:pt idx="3">
                        <c:v>105.35016531409678</c:v>
                      </c:pt>
                      <c:pt idx="4">
                        <c:v>105.45536519386836</c:v>
                      </c:pt>
                      <c:pt idx="5">
                        <c:v>105.83107905019537</c:v>
                      </c:pt>
                      <c:pt idx="6">
                        <c:v>105.27502254283138</c:v>
                      </c:pt>
                      <c:pt idx="7">
                        <c:v>104.52359483017734</c:v>
                      </c:pt>
                      <c:pt idx="8">
                        <c:v>103.29125338142471</c:v>
                      </c:pt>
                      <c:pt idx="9">
                        <c:v>102.72016831980764</c:v>
                      </c:pt>
                      <c:pt idx="10">
                        <c:v>100.36068530207393</c:v>
                      </c:pt>
                      <c:pt idx="11">
                        <c:v>99.804628794709942</c:v>
                      </c:pt>
                      <c:pt idx="12">
                        <c:v>98.978058310790502</c:v>
                      </c:pt>
                      <c:pt idx="13">
                        <c:v>99.233543733092873</c:v>
                      </c:pt>
                      <c:pt idx="14">
                        <c:v>98.722572888488131</c:v>
                      </c:pt>
                      <c:pt idx="15">
                        <c:v>98.722572888488131</c:v>
                      </c:pt>
                      <c:pt idx="16">
                        <c:v>99.819657348963034</c:v>
                      </c:pt>
                      <c:pt idx="17">
                        <c:v>98.391944694920355</c:v>
                      </c:pt>
                      <c:pt idx="18">
                        <c:v>98.16651638112414</c:v>
                      </c:pt>
                      <c:pt idx="19">
                        <c:v>98.286744815148779</c:v>
                      </c:pt>
                      <c:pt idx="20">
                        <c:v>97.911030958821769</c:v>
                      </c:pt>
                      <c:pt idx="21">
                        <c:v>98.061316501352565</c:v>
                      </c:pt>
                      <c:pt idx="22">
                        <c:v>97.911030958821769</c:v>
                      </c:pt>
                      <c:pt idx="23">
                        <c:v>98.692515779981974</c:v>
                      </c:pt>
                      <c:pt idx="24">
                        <c:v>99.66937180643221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0F4-49C0-8190-9288F823ABF6}"/>
                  </c:ext>
                </c:extLst>
              </c15:ser>
            </c15:filteredLineSeries>
          </c:ext>
        </c:extLst>
      </c:lineChart>
      <c:dateAx>
        <c:axId val="239163391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17631"/>
        <c:crosses val="autoZero"/>
        <c:auto val="1"/>
        <c:lblOffset val="100"/>
        <c:baseTimeUnit val="months"/>
      </c:dateAx>
      <c:valAx>
        <c:axId val="4271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163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Sheet8!$C$2</c:f>
              <c:strCache>
                <c:ptCount val="1"/>
                <c:pt idx="0">
                  <c:v>CPI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Sheet8!$B$3:$B$26</c:f>
              <c:numCache>
                <c:formatCode>General</c:formatCode>
                <c:ptCount val="24"/>
                <c:pt idx="0">
                  <c:v>1.25</c:v>
                </c:pt>
                <c:pt idx="1">
                  <c:v>1.25</c:v>
                </c:pt>
                <c:pt idx="2">
                  <c:v>1.25</c:v>
                </c:pt>
                <c:pt idx="3">
                  <c:v>1.25</c:v>
                </c:pt>
                <c:pt idx="4">
                  <c:v>1.25</c:v>
                </c:pt>
                <c:pt idx="5">
                  <c:v>1.25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1.75</c:v>
                </c:pt>
                <c:pt idx="10">
                  <c:v>1.75</c:v>
                </c:pt>
                <c:pt idx="11">
                  <c:v>1.75</c:v>
                </c:pt>
                <c:pt idx="12">
                  <c:v>1.75</c:v>
                </c:pt>
                <c:pt idx="13">
                  <c:v>1.75</c:v>
                </c:pt>
                <c:pt idx="14">
                  <c:v>1.75</c:v>
                </c:pt>
                <c:pt idx="15">
                  <c:v>1.75</c:v>
                </c:pt>
                <c:pt idx="16">
                  <c:v>1.75</c:v>
                </c:pt>
                <c:pt idx="17">
                  <c:v>1.75</c:v>
                </c:pt>
                <c:pt idx="18">
                  <c:v>1.75</c:v>
                </c:pt>
                <c:pt idx="19">
                  <c:v>1.75</c:v>
                </c:pt>
                <c:pt idx="20">
                  <c:v>1.75</c:v>
                </c:pt>
                <c:pt idx="21">
                  <c:v>1.75</c:v>
                </c:pt>
                <c:pt idx="22">
                  <c:v>1.75</c:v>
                </c:pt>
                <c:pt idx="23">
                  <c:v>1.75</c:v>
                </c:pt>
              </c:numCache>
            </c:numRef>
          </c:xVal>
          <c:yVal>
            <c:numRef>
              <c:f>Sheet8!$C$3:$C$26</c:f>
              <c:numCache>
                <c:formatCode>General</c:formatCode>
                <c:ptCount val="24"/>
                <c:pt idx="0">
                  <c:v>131.69999999999999</c:v>
                </c:pt>
                <c:pt idx="1">
                  <c:v>132.5</c:v>
                </c:pt>
                <c:pt idx="2">
                  <c:v>132.9</c:v>
                </c:pt>
                <c:pt idx="3">
                  <c:v>133.30000000000001</c:v>
                </c:pt>
                <c:pt idx="4">
                  <c:v>133.4</c:v>
                </c:pt>
                <c:pt idx="5">
                  <c:v>133.6</c:v>
                </c:pt>
                <c:pt idx="6">
                  <c:v>134.30000000000001</c:v>
                </c:pt>
                <c:pt idx="7">
                  <c:v>134.19999999999999</c:v>
                </c:pt>
                <c:pt idx="8">
                  <c:v>133.69999999999999</c:v>
                </c:pt>
                <c:pt idx="9">
                  <c:v>134.1</c:v>
                </c:pt>
                <c:pt idx="10">
                  <c:v>133.5</c:v>
                </c:pt>
                <c:pt idx="11">
                  <c:v>133.4</c:v>
                </c:pt>
                <c:pt idx="12">
                  <c:v>133.6</c:v>
                </c:pt>
                <c:pt idx="13">
                  <c:v>134.5</c:v>
                </c:pt>
                <c:pt idx="14">
                  <c:v>135.4</c:v>
                </c:pt>
                <c:pt idx="15">
                  <c:v>136</c:v>
                </c:pt>
                <c:pt idx="16">
                  <c:v>136.6</c:v>
                </c:pt>
                <c:pt idx="17">
                  <c:v>136.30000000000001</c:v>
                </c:pt>
                <c:pt idx="18">
                  <c:v>137</c:v>
                </c:pt>
                <c:pt idx="19">
                  <c:v>136.80000000000001</c:v>
                </c:pt>
                <c:pt idx="20">
                  <c:v>136.19999999999999</c:v>
                </c:pt>
                <c:pt idx="21">
                  <c:v>136.6</c:v>
                </c:pt>
                <c:pt idx="22">
                  <c:v>136.4</c:v>
                </c:pt>
                <c:pt idx="23">
                  <c:v>136.4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D1-4199-A4E2-DFB8D1B5E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247183"/>
        <c:axId val="170546959"/>
      </c:scatterChart>
      <c:valAx>
        <c:axId val="288247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46959"/>
        <c:crosses val="autoZero"/>
        <c:crossBetween val="midCat"/>
      </c:valAx>
      <c:valAx>
        <c:axId val="170546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247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'Week 3 assignment'!$C$6:$C$258</c:f>
              <c:numCache>
                <c:formatCode>General</c:formatCode>
                <c:ptCount val="253"/>
                <c:pt idx="0">
                  <c:v>70.444000000000003</c:v>
                </c:pt>
                <c:pt idx="1">
                  <c:v>70.966003000000001</c:v>
                </c:pt>
                <c:pt idx="2">
                  <c:v>66.608001999999999</c:v>
                </c:pt>
                <c:pt idx="3">
                  <c:v>67.267998000000006</c:v>
                </c:pt>
                <c:pt idx="4">
                  <c:v>65.783996999999999</c:v>
                </c:pt>
                <c:pt idx="5">
                  <c:v>66.258003000000002</c:v>
                </c:pt>
                <c:pt idx="6">
                  <c:v>65.987999000000002</c:v>
                </c:pt>
                <c:pt idx="7">
                  <c:v>66.973999000000006</c:v>
                </c:pt>
                <c:pt idx="8">
                  <c:v>67.239998</c:v>
                </c:pt>
                <c:pt idx="9">
                  <c:v>66.606003000000001</c:v>
                </c:pt>
                <c:pt idx="10">
                  <c:v>66.073997000000006</c:v>
                </c:pt>
                <c:pt idx="11">
                  <c:v>67.178000999999995</c:v>
                </c:pt>
                <c:pt idx="12">
                  <c:v>67.905997999999997</c:v>
                </c:pt>
                <c:pt idx="13">
                  <c:v>69.767998000000006</c:v>
                </c:pt>
                <c:pt idx="14">
                  <c:v>70.540001000000004</c:v>
                </c:pt>
                <c:pt idx="15">
                  <c:v>71.935997</c:v>
                </c:pt>
                <c:pt idx="16">
                  <c:v>71.678000999999995</c:v>
                </c:pt>
                <c:pt idx="17">
                  <c:v>76.300003000000004</c:v>
                </c:pt>
                <c:pt idx="18">
                  <c:v>75.797996999999995</c:v>
                </c:pt>
                <c:pt idx="19">
                  <c:v>78.629997000000003</c:v>
                </c:pt>
                <c:pt idx="20">
                  <c:v>80.807998999999995</c:v>
                </c:pt>
                <c:pt idx="21">
                  <c:v>81.117996000000005</c:v>
                </c:pt>
                <c:pt idx="22">
                  <c:v>83.844002000000003</c:v>
                </c:pt>
                <c:pt idx="23">
                  <c:v>85.050003000000004</c:v>
                </c:pt>
                <c:pt idx="24">
                  <c:v>86.188004000000006</c:v>
                </c:pt>
                <c:pt idx="25">
                  <c:v>86.075996000000004</c:v>
                </c:pt>
                <c:pt idx="26">
                  <c:v>82.940002000000007</c:v>
                </c:pt>
                <c:pt idx="27">
                  <c:v>83.665999999999997</c:v>
                </c:pt>
                <c:pt idx="28">
                  <c:v>86.052002000000002</c:v>
                </c:pt>
                <c:pt idx="29">
                  <c:v>88.601996999999997</c:v>
                </c:pt>
                <c:pt idx="30">
                  <c:v>90.307998999999995</c:v>
                </c:pt>
                <c:pt idx="31">
                  <c:v>93.811995999999994</c:v>
                </c:pt>
                <c:pt idx="32">
                  <c:v>98.428000999999995</c:v>
                </c:pt>
                <c:pt idx="33">
                  <c:v>96.267998000000006</c:v>
                </c:pt>
                <c:pt idx="34">
                  <c:v>95.629997000000003</c:v>
                </c:pt>
                <c:pt idx="35">
                  <c:v>104.97199999999999</c:v>
                </c:pt>
                <c:pt idx="36">
                  <c:v>107.584</c:v>
                </c:pt>
                <c:pt idx="37">
                  <c:v>103.699997</c:v>
                </c:pt>
                <c:pt idx="38">
                  <c:v>102.697998</c:v>
                </c:pt>
                <c:pt idx="39">
                  <c:v>102.099998</c:v>
                </c:pt>
                <c:pt idx="40">
                  <c:v>109.44000200000001</c:v>
                </c:pt>
                <c:pt idx="41">
                  <c:v>113.912003</c:v>
                </c:pt>
                <c:pt idx="42">
                  <c:v>114.44000200000001</c:v>
                </c:pt>
                <c:pt idx="43">
                  <c:v>112.96399700000001</c:v>
                </c:pt>
                <c:pt idx="44">
                  <c:v>111.603996</c:v>
                </c:pt>
                <c:pt idx="45">
                  <c:v>113.379997</c:v>
                </c:pt>
                <c:pt idx="46">
                  <c:v>116.197998</c:v>
                </c:pt>
                <c:pt idx="47">
                  <c:v>128.162003</c:v>
                </c:pt>
                <c:pt idx="48">
                  <c:v>130.11399800000001</c:v>
                </c:pt>
                <c:pt idx="49">
                  <c:v>156</c:v>
                </c:pt>
                <c:pt idx="50">
                  <c:v>177.412003</c:v>
                </c:pt>
                <c:pt idx="51">
                  <c:v>146.94000199999999</c:v>
                </c:pt>
                <c:pt idx="52">
                  <c:v>149.79200700000001</c:v>
                </c:pt>
                <c:pt idx="53">
                  <c:v>149.61399800000001</c:v>
                </c:pt>
                <c:pt idx="54">
                  <c:v>154.25599700000001</c:v>
                </c:pt>
                <c:pt idx="55">
                  <c:v>154.87600699999999</c:v>
                </c:pt>
                <c:pt idx="56">
                  <c:v>153.45799299999999</c:v>
                </c:pt>
                <c:pt idx="57">
                  <c:v>160.800003</c:v>
                </c:pt>
                <c:pt idx="58">
                  <c:v>160.00599700000001</c:v>
                </c:pt>
                <c:pt idx="59">
                  <c:v>171.679993</c:v>
                </c:pt>
                <c:pt idx="60">
                  <c:v>183.483994</c:v>
                </c:pt>
                <c:pt idx="61">
                  <c:v>179.88200399999999</c:v>
                </c:pt>
                <c:pt idx="62">
                  <c:v>180.199997</c:v>
                </c:pt>
                <c:pt idx="63">
                  <c:v>166.75799599999999</c:v>
                </c:pt>
                <c:pt idx="64">
                  <c:v>159.98199500000001</c:v>
                </c:pt>
                <c:pt idx="65">
                  <c:v>155.759995</c:v>
                </c:pt>
                <c:pt idx="66">
                  <c:v>135.800003</c:v>
                </c:pt>
                <c:pt idx="67">
                  <c:v>133.598007</c:v>
                </c:pt>
                <c:pt idx="68">
                  <c:v>148.72399899999999</c:v>
                </c:pt>
                <c:pt idx="69">
                  <c:v>149.10200499999999</c:v>
                </c:pt>
                <c:pt idx="70">
                  <c:v>149.89999399999999</c:v>
                </c:pt>
                <c:pt idx="71">
                  <c:v>144.908005</c:v>
                </c:pt>
                <c:pt idx="72">
                  <c:v>140.695999</c:v>
                </c:pt>
                <c:pt idx="73">
                  <c:v>121.599998</c:v>
                </c:pt>
                <c:pt idx="74">
                  <c:v>129.06599399999999</c:v>
                </c:pt>
                <c:pt idx="75">
                  <c:v>126.846001</c:v>
                </c:pt>
                <c:pt idx="76">
                  <c:v>112.110001</c:v>
                </c:pt>
                <c:pt idx="77">
                  <c:v>109.32399700000001</c:v>
                </c:pt>
                <c:pt idx="78">
                  <c:v>89.013999999999996</c:v>
                </c:pt>
                <c:pt idx="79">
                  <c:v>86.040001000000004</c:v>
                </c:pt>
                <c:pt idx="80">
                  <c:v>72.244003000000006</c:v>
                </c:pt>
                <c:pt idx="81">
                  <c:v>85.528000000000006</c:v>
                </c:pt>
                <c:pt idx="82">
                  <c:v>85.505996999999994</c:v>
                </c:pt>
                <c:pt idx="83">
                  <c:v>86.858001999999999</c:v>
                </c:pt>
                <c:pt idx="84">
                  <c:v>101</c:v>
                </c:pt>
                <c:pt idx="85">
                  <c:v>107.849998</c:v>
                </c:pt>
                <c:pt idx="86">
                  <c:v>105.63200399999999</c:v>
                </c:pt>
                <c:pt idx="87">
                  <c:v>102.87200199999999</c:v>
                </c:pt>
                <c:pt idx="88">
                  <c:v>100.42600299999999</c:v>
                </c:pt>
                <c:pt idx="89">
                  <c:v>104.800003</c:v>
                </c:pt>
                <c:pt idx="90">
                  <c:v>96.311995999999994</c:v>
                </c:pt>
                <c:pt idx="91">
                  <c:v>90.893996999999999</c:v>
                </c:pt>
                <c:pt idx="92">
                  <c:v>96.001998999999998</c:v>
                </c:pt>
                <c:pt idx="93">
                  <c:v>103.248001</c:v>
                </c:pt>
                <c:pt idx="94">
                  <c:v>109.089996</c:v>
                </c:pt>
                <c:pt idx="95">
                  <c:v>109.76799800000001</c:v>
                </c:pt>
                <c:pt idx="96">
                  <c:v>114.599998</c:v>
                </c:pt>
                <c:pt idx="97">
                  <c:v>130.19000199999999</c:v>
                </c:pt>
                <c:pt idx="98">
                  <c:v>141.97799699999999</c:v>
                </c:pt>
                <c:pt idx="99">
                  <c:v>145.966003</c:v>
                </c:pt>
                <c:pt idx="100">
                  <c:v>149.04200700000001</c:v>
                </c:pt>
                <c:pt idx="101">
                  <c:v>150.77799999999999</c:v>
                </c:pt>
                <c:pt idx="102">
                  <c:v>149.27200300000001</c:v>
                </c:pt>
                <c:pt idx="103">
                  <c:v>137.34399400000001</c:v>
                </c:pt>
                <c:pt idx="104">
                  <c:v>146.421997</c:v>
                </c:pt>
                <c:pt idx="105">
                  <c:v>141.12600699999999</c:v>
                </c:pt>
                <c:pt idx="106">
                  <c:v>145.029999</c:v>
                </c:pt>
                <c:pt idx="107">
                  <c:v>159.75</c:v>
                </c:pt>
                <c:pt idx="108">
                  <c:v>153.824005</c:v>
                </c:pt>
                <c:pt idx="109">
                  <c:v>160.10200499999999</c:v>
                </c:pt>
                <c:pt idx="110">
                  <c:v>156.37600699999999</c:v>
                </c:pt>
                <c:pt idx="111">
                  <c:v>140.26400799999999</c:v>
                </c:pt>
                <c:pt idx="112">
                  <c:v>152.23800700000001</c:v>
                </c:pt>
                <c:pt idx="113">
                  <c:v>153.641998</c:v>
                </c:pt>
                <c:pt idx="114">
                  <c:v>156.516006</c:v>
                </c:pt>
                <c:pt idx="115">
                  <c:v>156.00799599999999</c:v>
                </c:pt>
                <c:pt idx="116">
                  <c:v>163.88400300000001</c:v>
                </c:pt>
                <c:pt idx="117">
                  <c:v>162.25799599999999</c:v>
                </c:pt>
                <c:pt idx="118">
                  <c:v>161.88200399999999</c:v>
                </c:pt>
                <c:pt idx="119">
                  <c:v>158.192001</c:v>
                </c:pt>
                <c:pt idx="120">
                  <c:v>160.666</c:v>
                </c:pt>
                <c:pt idx="121">
                  <c:v>159.834</c:v>
                </c:pt>
                <c:pt idx="122">
                  <c:v>162.725998</c:v>
                </c:pt>
                <c:pt idx="123">
                  <c:v>161.60200499999999</c:v>
                </c:pt>
                <c:pt idx="124">
                  <c:v>163.11199999999999</c:v>
                </c:pt>
                <c:pt idx="125">
                  <c:v>165.520004</c:v>
                </c:pt>
                <c:pt idx="126">
                  <c:v>163.37600699999999</c:v>
                </c:pt>
                <c:pt idx="127">
                  <c:v>163.774002</c:v>
                </c:pt>
                <c:pt idx="128">
                  <c:v>164.04600500000001</c:v>
                </c:pt>
                <c:pt idx="129">
                  <c:v>161.162003</c:v>
                </c:pt>
                <c:pt idx="130">
                  <c:v>167</c:v>
                </c:pt>
                <c:pt idx="131">
                  <c:v>179.61999499999999</c:v>
                </c:pt>
                <c:pt idx="132">
                  <c:v>176.31199599999999</c:v>
                </c:pt>
                <c:pt idx="133">
                  <c:v>176.591995</c:v>
                </c:pt>
                <c:pt idx="134">
                  <c:v>172.87600699999999</c:v>
                </c:pt>
                <c:pt idx="135">
                  <c:v>177.13200399999999</c:v>
                </c:pt>
                <c:pt idx="136">
                  <c:v>189.983994</c:v>
                </c:pt>
                <c:pt idx="137">
                  <c:v>188.13400300000001</c:v>
                </c:pt>
                <c:pt idx="138">
                  <c:v>205.009995</c:v>
                </c:pt>
                <c:pt idx="139">
                  <c:v>194.567993</c:v>
                </c:pt>
                <c:pt idx="140">
                  <c:v>187.05600000000001</c:v>
                </c:pt>
                <c:pt idx="141">
                  <c:v>198.179993</c:v>
                </c:pt>
                <c:pt idx="142">
                  <c:v>196.425995</c:v>
                </c:pt>
                <c:pt idx="143">
                  <c:v>198.358002</c:v>
                </c:pt>
                <c:pt idx="144">
                  <c:v>200.79200700000001</c:v>
                </c:pt>
                <c:pt idx="145">
                  <c:v>200.179993</c:v>
                </c:pt>
                <c:pt idx="146">
                  <c:v>198.86399800000001</c:v>
                </c:pt>
                <c:pt idx="147">
                  <c:v>200.35600299999999</c:v>
                </c:pt>
                <c:pt idx="148">
                  <c:v>192.16999799999999</c:v>
                </c:pt>
                <c:pt idx="149">
                  <c:v>197.195999</c:v>
                </c:pt>
                <c:pt idx="150">
                  <c:v>191.94799800000001</c:v>
                </c:pt>
                <c:pt idx="151">
                  <c:v>201.86999499999999</c:v>
                </c:pt>
                <c:pt idx="152">
                  <c:v>215.962006</c:v>
                </c:pt>
                <c:pt idx="153">
                  <c:v>223.925995</c:v>
                </c:pt>
                <c:pt idx="154">
                  <c:v>241.73199500000001</c:v>
                </c:pt>
                <c:pt idx="155">
                  <c:v>274.31601000000001</c:v>
                </c:pt>
                <c:pt idx="156">
                  <c:v>277.97198500000002</c:v>
                </c:pt>
                <c:pt idx="157">
                  <c:v>273.175995</c:v>
                </c:pt>
                <c:pt idx="158">
                  <c:v>278.85598800000002</c:v>
                </c:pt>
                <c:pt idx="159">
                  <c:v>308.92999300000002</c:v>
                </c:pt>
                <c:pt idx="160">
                  <c:v>299.41198700000001</c:v>
                </c:pt>
                <c:pt idx="161">
                  <c:v>303.35998499999999</c:v>
                </c:pt>
                <c:pt idx="162">
                  <c:v>309.20199600000001</c:v>
                </c:pt>
                <c:pt idx="163">
                  <c:v>300.12799100000001</c:v>
                </c:pt>
                <c:pt idx="164">
                  <c:v>300.16799900000001</c:v>
                </c:pt>
                <c:pt idx="165">
                  <c:v>328.60000600000001</c:v>
                </c:pt>
                <c:pt idx="166">
                  <c:v>313.67199699999998</c:v>
                </c:pt>
                <c:pt idx="167">
                  <c:v>318.466003</c:v>
                </c:pt>
                <c:pt idx="168">
                  <c:v>302.614014</c:v>
                </c:pt>
                <c:pt idx="169">
                  <c:v>283.39999399999999</c:v>
                </c:pt>
                <c:pt idx="170">
                  <c:v>307.92001299999998</c:v>
                </c:pt>
                <c:pt idx="171">
                  <c:v>295.29800399999999</c:v>
                </c:pt>
                <c:pt idx="172">
                  <c:v>299.82199100000003</c:v>
                </c:pt>
                <c:pt idx="173">
                  <c:v>297.49798600000003</c:v>
                </c:pt>
                <c:pt idx="174">
                  <c:v>286.15200800000002</c:v>
                </c:pt>
                <c:pt idx="175">
                  <c:v>297</c:v>
                </c:pt>
                <c:pt idx="176">
                  <c:v>297.39999399999999</c:v>
                </c:pt>
                <c:pt idx="177">
                  <c:v>297.00399800000002</c:v>
                </c:pt>
                <c:pt idx="178">
                  <c:v>297.91598499999998</c:v>
                </c:pt>
                <c:pt idx="179">
                  <c:v>290.54199199999999</c:v>
                </c:pt>
                <c:pt idx="180">
                  <c:v>283.71398900000003</c:v>
                </c:pt>
                <c:pt idx="181">
                  <c:v>274.87799100000001</c:v>
                </c:pt>
                <c:pt idx="182">
                  <c:v>310.95199600000001</c:v>
                </c:pt>
                <c:pt idx="183">
                  <c:v>324.20001200000002</c:v>
                </c:pt>
                <c:pt idx="184">
                  <c:v>330.141998</c:v>
                </c:pt>
                <c:pt idx="185">
                  <c:v>367.12799100000001</c:v>
                </c:pt>
                <c:pt idx="186">
                  <c:v>377.41799900000001</c:v>
                </c:pt>
                <c:pt idx="187">
                  <c:v>375.70599399999998</c:v>
                </c:pt>
                <c:pt idx="188">
                  <c:v>400.36599699999999</c:v>
                </c:pt>
                <c:pt idx="189">
                  <c:v>409.99600199999998</c:v>
                </c:pt>
                <c:pt idx="190">
                  <c:v>402.83999599999999</c:v>
                </c:pt>
                <c:pt idx="191">
                  <c:v>404.66799900000001</c:v>
                </c:pt>
                <c:pt idx="192">
                  <c:v>430.63400300000001</c:v>
                </c:pt>
                <c:pt idx="193">
                  <c:v>447.75</c:v>
                </c:pt>
                <c:pt idx="194">
                  <c:v>442.67999300000002</c:v>
                </c:pt>
                <c:pt idx="195">
                  <c:v>498.32000699999998</c:v>
                </c:pt>
                <c:pt idx="196">
                  <c:v>475.04998799999998</c:v>
                </c:pt>
                <c:pt idx="197">
                  <c:v>447.36999500000002</c:v>
                </c:pt>
                <c:pt idx="198">
                  <c:v>407</c:v>
                </c:pt>
                <c:pt idx="199">
                  <c:v>418.32000699999998</c:v>
                </c:pt>
                <c:pt idx="200">
                  <c:v>330.209991</c:v>
                </c:pt>
                <c:pt idx="201">
                  <c:v>366.27999899999998</c:v>
                </c:pt>
                <c:pt idx="202">
                  <c:v>371.33999599999999</c:v>
                </c:pt>
                <c:pt idx="203">
                  <c:v>372.72000100000002</c:v>
                </c:pt>
                <c:pt idx="204">
                  <c:v>419.61999500000002</c:v>
                </c:pt>
                <c:pt idx="205">
                  <c:v>449.76001000000002</c:v>
                </c:pt>
                <c:pt idx="206">
                  <c:v>441.76001000000002</c:v>
                </c:pt>
                <c:pt idx="207">
                  <c:v>423.42999300000002</c:v>
                </c:pt>
                <c:pt idx="208">
                  <c:v>442.14999399999999</c:v>
                </c:pt>
                <c:pt idx="209">
                  <c:v>449.39001500000001</c:v>
                </c:pt>
                <c:pt idx="210">
                  <c:v>424.23001099999999</c:v>
                </c:pt>
                <c:pt idx="211">
                  <c:v>380.35998499999999</c:v>
                </c:pt>
                <c:pt idx="212">
                  <c:v>387.790009</c:v>
                </c:pt>
                <c:pt idx="213">
                  <c:v>407.33999599999999</c:v>
                </c:pt>
                <c:pt idx="214">
                  <c:v>421.20001200000002</c:v>
                </c:pt>
                <c:pt idx="215">
                  <c:v>419.07000699999998</c:v>
                </c:pt>
                <c:pt idx="216">
                  <c:v>429.01001000000002</c:v>
                </c:pt>
                <c:pt idx="217">
                  <c:v>448.16000400000001</c:v>
                </c:pt>
                <c:pt idx="218">
                  <c:v>415.08999599999999</c:v>
                </c:pt>
                <c:pt idx="219">
                  <c:v>425.67999300000002</c:v>
                </c:pt>
                <c:pt idx="220">
                  <c:v>413.98001099999999</c:v>
                </c:pt>
                <c:pt idx="221">
                  <c:v>425.29998799999998</c:v>
                </c:pt>
                <c:pt idx="222">
                  <c:v>425.92001299999998</c:v>
                </c:pt>
                <c:pt idx="223">
                  <c:v>434</c:v>
                </c:pt>
                <c:pt idx="224">
                  <c:v>442.29998799999998</c:v>
                </c:pt>
                <c:pt idx="225">
                  <c:v>446.64999399999999</c:v>
                </c:pt>
                <c:pt idx="226">
                  <c:v>461.29998799999998</c:v>
                </c:pt>
                <c:pt idx="227">
                  <c:v>448.88000499999998</c:v>
                </c:pt>
                <c:pt idx="228">
                  <c:v>439.67001299999998</c:v>
                </c:pt>
                <c:pt idx="229">
                  <c:v>430.82998700000002</c:v>
                </c:pt>
                <c:pt idx="230">
                  <c:v>421.94000199999999</c:v>
                </c:pt>
                <c:pt idx="231">
                  <c:v>422.64001500000001</c:v>
                </c:pt>
                <c:pt idx="232">
                  <c:v>425.790009</c:v>
                </c:pt>
                <c:pt idx="233">
                  <c:v>420.63000499999998</c:v>
                </c:pt>
                <c:pt idx="234">
                  <c:v>420.27999899999998</c:v>
                </c:pt>
                <c:pt idx="235">
                  <c:v>424.67999300000002</c:v>
                </c:pt>
                <c:pt idx="236">
                  <c:v>406.01998900000001</c:v>
                </c:pt>
                <c:pt idx="237">
                  <c:v>410.82998700000002</c:v>
                </c:pt>
                <c:pt idx="238">
                  <c:v>388.040009</c:v>
                </c:pt>
                <c:pt idx="239">
                  <c:v>400.51001000000002</c:v>
                </c:pt>
                <c:pt idx="240">
                  <c:v>423.89999399999999</c:v>
                </c:pt>
                <c:pt idx="241">
                  <c:v>420.98001099999999</c:v>
                </c:pt>
                <c:pt idx="242">
                  <c:v>438.08999599999999</c:v>
                </c:pt>
                <c:pt idx="243">
                  <c:v>429.95001200000002</c:v>
                </c:pt>
                <c:pt idx="244">
                  <c:v>421.26001000000002</c:v>
                </c:pt>
                <c:pt idx="245">
                  <c:v>410.35998499999999</c:v>
                </c:pt>
                <c:pt idx="246">
                  <c:v>417.13000499999998</c:v>
                </c:pt>
                <c:pt idx="247">
                  <c:v>411.76001000000002</c:v>
                </c:pt>
                <c:pt idx="248">
                  <c:v>408.5</c:v>
                </c:pt>
                <c:pt idx="249">
                  <c:v>408.08999599999999</c:v>
                </c:pt>
                <c:pt idx="250">
                  <c:v>441.60998499999999</c:v>
                </c:pt>
                <c:pt idx="251">
                  <c:v>486.64001500000001</c:v>
                </c:pt>
                <c:pt idx="252">
                  <c:v>499.26998900000001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71-4D3E-8FD4-BBE9AFBEC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2877791"/>
        <c:axId val="1352568383"/>
      </c:lineChart>
      <c:catAx>
        <c:axId val="16028777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2568383"/>
        <c:crosses val="autoZero"/>
        <c:auto val="1"/>
        <c:lblAlgn val="ctr"/>
        <c:lblOffset val="100"/>
        <c:noMultiLvlLbl val="0"/>
      </c:catAx>
      <c:valAx>
        <c:axId val="135256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877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8283</xdr:colOff>
      <xdr:row>28</xdr:row>
      <xdr:rowOff>11594</xdr:rowOff>
    </xdr:from>
    <xdr:to>
      <xdr:col>5</xdr:col>
      <xdr:colOff>0</xdr:colOff>
      <xdr:row>42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5F9A46-8A66-44BA-9E9B-98AAA6B09C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28</xdr:row>
      <xdr:rowOff>0</xdr:rowOff>
    </xdr:from>
    <xdr:to>
      <xdr:col>9</xdr:col>
      <xdr:colOff>0</xdr:colOff>
      <xdr:row>43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DD0FDA-FDAB-45CF-B70E-40FC7AE436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9</xdr:col>
      <xdr:colOff>0</xdr:colOff>
      <xdr:row>58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1C92ED9-9A6D-4D88-899D-F43A8466CC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9524</xdr:colOff>
      <xdr:row>28</xdr:row>
      <xdr:rowOff>14286</xdr:rowOff>
    </xdr:from>
    <xdr:to>
      <xdr:col>8</xdr:col>
      <xdr:colOff>1409699</xdr:colOff>
      <xdr:row>42</xdr:row>
      <xdr:rowOff>190499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2215C96-86F0-4C19-9C03-1AC4BF088B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419100</xdr:colOff>
      <xdr:row>63</xdr:row>
      <xdr:rowOff>71437</xdr:rowOff>
    </xdr:from>
    <xdr:to>
      <xdr:col>8</xdr:col>
      <xdr:colOff>1219200</xdr:colOff>
      <xdr:row>77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9C1D63C-54CD-41D5-B101-AF13AC3D0A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1</xdr:row>
      <xdr:rowOff>100012</xdr:rowOff>
    </xdr:from>
    <xdr:to>
      <xdr:col>14</xdr:col>
      <xdr:colOff>457200</xdr:colOff>
      <xdr:row>15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2BC16D-93C9-4038-85B6-23A2E60AD9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133350</xdr:colOff>
      <xdr:row>15</xdr:row>
      <xdr:rowOff>133350</xdr:rowOff>
    </xdr:from>
    <xdr:to>
      <xdr:col>14</xdr:col>
      <xdr:colOff>438150</xdr:colOff>
      <xdr:row>30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590CB4-81F1-4508-84B0-C851AB6453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7</xdr:row>
      <xdr:rowOff>71437</xdr:rowOff>
    </xdr:from>
    <xdr:to>
      <xdr:col>14</xdr:col>
      <xdr:colOff>190500</xdr:colOff>
      <xdr:row>21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BBAF09-E87C-44D4-8F2D-DC10AB80F8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71437</xdr:rowOff>
    </xdr:from>
    <xdr:to>
      <xdr:col>18</xdr:col>
      <xdr:colOff>304800</xdr:colOff>
      <xdr:row>18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3939C0-521A-451D-A1B8-A9560E22EE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mreb.com/market-stats/" TargetMode="External"/><Relationship Id="rId2" Type="http://schemas.openxmlformats.org/officeDocument/2006/relationships/hyperlink" Target="http://www.vireb.com/index.php?page=20" TargetMode="External"/><Relationship Id="rId1" Type="http://schemas.openxmlformats.org/officeDocument/2006/relationships/hyperlink" Target="http://www.fvreb.bc.ca/stats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www.soreb.org/stats/2019/APR19" TargetMode="External"/><Relationship Id="rId4" Type="http://schemas.openxmlformats.org/officeDocument/2006/relationships/hyperlink" Target="https://www.rebgv.org/market-watch/monthly-market-report/december-2018.html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tatcan.gc.ca/tables-tableaux/sum-som/l01/cst01/lfss01c-eng.htm" TargetMode="External"/><Relationship Id="rId13" Type="http://schemas.openxmlformats.org/officeDocument/2006/relationships/hyperlink" Target="https://www150.statcan.gc.ca/t1/tbl1/en/cv.action?pid=3410014301" TargetMode="External"/><Relationship Id="rId3" Type="http://schemas.openxmlformats.org/officeDocument/2006/relationships/hyperlink" Target="http://www.bankofcanada.ca/rates/exchange/daily-exchange-rates-lookup/?series%5B%5D=FXUSDCAD&amp;lookupPage=lookup_daily_exchange_rates_2017.php&amp;startRange=2007-07-12&amp;rangeType=range&amp;rangeValue=3.m&amp;dFrom=&amp;dTo=&amp;submit_button=Submit" TargetMode="External"/><Relationship Id="rId7" Type="http://schemas.openxmlformats.org/officeDocument/2006/relationships/hyperlink" Target="http://www5.statcan.gc.ca/cansim/a26?lang=eng&amp;retrLang=eng&amp;id=0260001&amp;pattern=0260001..0260008%2C0260010&amp;csid=" TargetMode="External"/><Relationship Id="rId12" Type="http://schemas.openxmlformats.org/officeDocument/2006/relationships/hyperlink" Target="https://www150.statcan.gc.ca/t1/tbl1/en/tv.action?pid=1810000413&amp;pickMembers%5B0%5D=1.26" TargetMode="External"/><Relationship Id="rId2" Type="http://schemas.openxmlformats.org/officeDocument/2006/relationships/hyperlink" Target="http://www5.statcan.gc.ca/cansim/a26?lang=eng&amp;retrLang=eng&amp;id=3260020&amp;&amp;pattern=&amp;stByVal=1&amp;p1=1&amp;p2=37&amp;tabMode=dataTable&amp;csid=" TargetMode="External"/><Relationship Id="rId1" Type="http://schemas.openxmlformats.org/officeDocument/2006/relationships/hyperlink" Target="http://www.bankofcanada.ca/core-functions/monetary-policy/key-interest-rate/" TargetMode="External"/><Relationship Id="rId6" Type="http://schemas.openxmlformats.org/officeDocument/2006/relationships/hyperlink" Target="http://www5.statcan.gc.ca/cansim/pick-choisir?lang=eng&amp;p2=33&amp;id=0270015" TargetMode="External"/><Relationship Id="rId11" Type="http://schemas.openxmlformats.org/officeDocument/2006/relationships/hyperlink" Target="http://www5.statcan.gc.ca/cansim/a26?lang=eng&amp;retrLang=eng&amp;id=0270001&amp;pattern=0270001..0270002%2C0270006..0270041%2C0270043..0270044%2C0270046..0270057&amp;tabMode=dataTable&amp;srchLan=-1&amp;p1=-1&amp;p2=-1" TargetMode="External"/><Relationship Id="rId5" Type="http://schemas.openxmlformats.org/officeDocument/2006/relationships/hyperlink" Target="http://www5.statcan.gc.ca/cansim/a26?lang=eng&amp;retrLang=eng&amp;id=0270001&amp;pattern=0270001..0270002%2C0270006..0270041%2C0270043..0270044%2C0270046..0270057&amp;csid=" TargetMode="External"/><Relationship Id="rId10" Type="http://schemas.openxmlformats.org/officeDocument/2006/relationships/hyperlink" Target="http://www5.statcan.gc.ca/cansim/a26?lang=eng&amp;retrLang=eng&amp;id=0270001&amp;pattern=0270001..0270002%2C0270006..0270041%2C0270043..0270044%2C0270046..0270057&amp;tabMode=dataTable&amp;srchLan=-1&amp;p1=-1&amp;p2=-1" TargetMode="External"/><Relationship Id="rId4" Type="http://schemas.openxmlformats.org/officeDocument/2006/relationships/hyperlink" Target="http://www5.statcan.gc.ca/cansim/a26?lang=eng&amp;retrLang=eng&amp;id=2820087&amp;&amp;pattern=&amp;stByVal=1&amp;p1=1&amp;p2=37&amp;tabMode=dataTable&amp;csid=" TargetMode="External"/><Relationship Id="rId9" Type="http://schemas.openxmlformats.org/officeDocument/2006/relationships/hyperlink" Target="http://www5.statcan.gc.ca/cansim/a26?lang=eng&amp;retrLang=eng&amp;id=0270001&amp;pattern=0270001..0270002%2C0270006..0270041%2C0270043..0270044%2C0270046..0270057&amp;tabMode=dataTable&amp;srchLan=-1&amp;p1=-1&amp;p2=-1" TargetMode="External"/><Relationship Id="rId1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H12"/>
  <sheetViews>
    <sheetView workbookViewId="0">
      <selection activeCell="J8" sqref="J8"/>
    </sheetView>
  </sheetViews>
  <sheetFormatPr defaultRowHeight="15" x14ac:dyDescent="0.25"/>
  <cols>
    <col min="4" max="4" width="18.42578125" bestFit="1" customWidth="1"/>
    <col min="5" max="5" width="16.7109375" bestFit="1" customWidth="1"/>
    <col min="6" max="6" width="15.42578125" bestFit="1" customWidth="1"/>
    <col min="7" max="7" width="12.7109375" bestFit="1" customWidth="1"/>
  </cols>
  <sheetData>
    <row r="3" spans="4:8" x14ac:dyDescent="0.25">
      <c r="D3" s="14" t="s">
        <v>44</v>
      </c>
      <c r="E3" s="14" t="s">
        <v>52</v>
      </c>
      <c r="F3" s="14" t="s">
        <v>45</v>
      </c>
      <c r="G3" s="14" t="s">
        <v>46</v>
      </c>
      <c r="H3" s="14" t="s">
        <v>47</v>
      </c>
    </row>
    <row r="4" spans="4:8" x14ac:dyDescent="0.25">
      <c r="D4" s="12" t="s">
        <v>48</v>
      </c>
      <c r="E4" s="13" t="s">
        <v>58</v>
      </c>
      <c r="F4" s="13" t="s">
        <v>58</v>
      </c>
      <c r="G4" s="13" t="s">
        <v>61</v>
      </c>
      <c r="H4" s="13" t="s">
        <v>64</v>
      </c>
    </row>
    <row r="5" spans="4:8" x14ac:dyDescent="0.25">
      <c r="D5" s="12" t="s">
        <v>50</v>
      </c>
      <c r="E5" s="13" t="s">
        <v>58</v>
      </c>
      <c r="F5" s="13" t="s">
        <v>58</v>
      </c>
      <c r="G5" s="13" t="s">
        <v>61</v>
      </c>
      <c r="H5" s="13" t="s">
        <v>64</v>
      </c>
    </row>
    <row r="6" spans="4:8" x14ac:dyDescent="0.25">
      <c r="D6" s="12" t="s">
        <v>49</v>
      </c>
      <c r="E6" s="13" t="s">
        <v>58</v>
      </c>
      <c r="F6" s="13" t="s">
        <v>58</v>
      </c>
      <c r="G6" s="13" t="s">
        <v>61</v>
      </c>
      <c r="H6" s="13" t="s">
        <v>64</v>
      </c>
    </row>
    <row r="7" spans="4:8" x14ac:dyDescent="0.25">
      <c r="D7" s="12" t="s">
        <v>57</v>
      </c>
      <c r="E7" s="13" t="s">
        <v>58</v>
      </c>
      <c r="F7" s="13" t="s">
        <v>58</v>
      </c>
      <c r="G7" s="13" t="s">
        <v>61</v>
      </c>
      <c r="H7" s="13" t="s">
        <v>64</v>
      </c>
    </row>
    <row r="8" spans="4:8" x14ac:dyDescent="0.25">
      <c r="D8" s="12" t="s">
        <v>51</v>
      </c>
      <c r="E8" s="13" t="s">
        <v>58</v>
      </c>
      <c r="F8" s="13" t="s">
        <v>58</v>
      </c>
      <c r="G8" s="13" t="s">
        <v>61</v>
      </c>
      <c r="H8" s="13" t="s">
        <v>64</v>
      </c>
    </row>
    <row r="9" spans="4:8" x14ac:dyDescent="0.25">
      <c r="D9" s="8" t="s">
        <v>53</v>
      </c>
      <c r="E9" s="9" t="s">
        <v>59</v>
      </c>
      <c r="F9" s="9" t="s">
        <v>59</v>
      </c>
      <c r="G9" s="9" t="s">
        <v>62</v>
      </c>
      <c r="H9" s="9" t="s">
        <v>63</v>
      </c>
    </row>
    <row r="10" spans="4:8" x14ac:dyDescent="0.25">
      <c r="D10" s="10" t="s">
        <v>54</v>
      </c>
      <c r="E10" s="11" t="s">
        <v>60</v>
      </c>
      <c r="F10" s="11" t="s">
        <v>59</v>
      </c>
      <c r="G10" s="11" t="s">
        <v>61</v>
      </c>
      <c r="H10" s="11" t="s">
        <v>64</v>
      </c>
    </row>
    <row r="11" spans="4:8" x14ac:dyDescent="0.25">
      <c r="D11" s="8" t="s">
        <v>55</v>
      </c>
      <c r="E11" s="9" t="s">
        <v>59</v>
      </c>
      <c r="F11" s="9" t="s">
        <v>59</v>
      </c>
      <c r="G11" s="9" t="s">
        <v>62</v>
      </c>
      <c r="H11" s="9" t="s">
        <v>63</v>
      </c>
    </row>
    <row r="12" spans="4:8" x14ac:dyDescent="0.25">
      <c r="D12" s="12" t="s">
        <v>56</v>
      </c>
      <c r="E12" s="13" t="s">
        <v>58</v>
      </c>
      <c r="F12" s="13" t="s">
        <v>58</v>
      </c>
      <c r="G12" s="13" t="s">
        <v>61</v>
      </c>
      <c r="H12" s="13" t="s">
        <v>64</v>
      </c>
    </row>
  </sheetData>
  <sortState xmlns:xlrd2="http://schemas.microsoft.com/office/spreadsheetml/2017/richdata2" ref="D4:D12">
    <sortCondition ref="D12"/>
  </sortState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46CF8-E40D-4027-B010-2DD5AAE4430F}">
  <dimension ref="B1:R47"/>
  <sheetViews>
    <sheetView zoomScaleNormal="100" workbookViewId="0">
      <selection activeCell="F22" sqref="F22:P24"/>
    </sheetView>
  </sheetViews>
  <sheetFormatPr defaultRowHeight="15" x14ac:dyDescent="0.25"/>
  <cols>
    <col min="2" max="2" width="17.85546875" bestFit="1" customWidth="1"/>
    <col min="3" max="3" width="16" bestFit="1" customWidth="1"/>
    <col min="5" max="5" width="19.140625" bestFit="1" customWidth="1"/>
    <col min="7" max="7" width="20.7109375" bestFit="1" customWidth="1"/>
    <col min="9" max="9" width="17.85546875" bestFit="1" customWidth="1"/>
    <col min="10" max="10" width="18" bestFit="1" customWidth="1"/>
    <col min="11" max="11" width="12.85546875" bestFit="1" customWidth="1"/>
  </cols>
  <sheetData>
    <row r="1" spans="2:15" x14ac:dyDescent="0.25">
      <c r="B1" s="33" t="s">
        <v>134</v>
      </c>
      <c r="C1" s="33" t="s">
        <v>135</v>
      </c>
    </row>
    <row r="2" spans="2:15" x14ac:dyDescent="0.25">
      <c r="B2" s="43" t="s">
        <v>133</v>
      </c>
      <c r="C2" s="42" t="s">
        <v>132</v>
      </c>
      <c r="E2" t="s">
        <v>167</v>
      </c>
      <c r="G2" t="s">
        <v>168</v>
      </c>
    </row>
    <row r="3" spans="2:15" x14ac:dyDescent="0.25">
      <c r="B3">
        <v>806</v>
      </c>
      <c r="C3">
        <v>471200</v>
      </c>
      <c r="E3" t="s">
        <v>136</v>
      </c>
      <c r="G3" t="s">
        <v>137</v>
      </c>
      <c r="J3" t="s">
        <v>140</v>
      </c>
    </row>
    <row r="4" spans="2:15" ht="15.75" thickBot="1" x14ac:dyDescent="0.3">
      <c r="B4">
        <v>1022</v>
      </c>
      <c r="C4">
        <v>483400</v>
      </c>
      <c r="E4" t="str">
        <f>C2</f>
        <v>Prices in V Island</v>
      </c>
      <c r="F4" t="s">
        <v>138</v>
      </c>
      <c r="G4" t="str">
        <f>B2</f>
        <v>Sales in Vancouver</v>
      </c>
      <c r="H4" t="s">
        <v>139</v>
      </c>
    </row>
    <row r="5" spans="2:15" x14ac:dyDescent="0.25">
      <c r="B5">
        <v>1168</v>
      </c>
      <c r="C5">
        <v>490100</v>
      </c>
      <c r="J5" s="39" t="s">
        <v>141</v>
      </c>
      <c r="K5" s="39"/>
    </row>
    <row r="6" spans="2:15" ht="29.25" customHeight="1" x14ac:dyDescent="0.25">
      <c r="B6">
        <v>1261</v>
      </c>
      <c r="C6">
        <v>499600</v>
      </c>
      <c r="E6" s="183" t="s">
        <v>166</v>
      </c>
      <c r="F6" s="183"/>
      <c r="G6" s="183"/>
      <c r="H6" s="183"/>
      <c r="J6" s="36" t="s">
        <v>142</v>
      </c>
      <c r="K6" s="36">
        <v>0.23947913726649567</v>
      </c>
    </row>
    <row r="7" spans="2:15" x14ac:dyDescent="0.25">
      <c r="B7">
        <v>1402</v>
      </c>
      <c r="C7">
        <v>507700</v>
      </c>
      <c r="E7" s="182"/>
      <c r="F7" s="182"/>
      <c r="G7" s="182"/>
      <c r="H7" s="182"/>
      <c r="J7" s="45" t="s">
        <v>143</v>
      </c>
      <c r="K7" s="40">
        <v>5.7350257185905078E-2</v>
      </c>
      <c r="M7">
        <f>K7*100</f>
        <v>5.7350257185905074</v>
      </c>
      <c r="N7" s="47"/>
    </row>
    <row r="8" spans="2:15" ht="15.75" thickBot="1" x14ac:dyDescent="0.3">
      <c r="B8">
        <v>1185</v>
      </c>
      <c r="C8">
        <v>510300</v>
      </c>
      <c r="E8" s="45" t="s">
        <v>143</v>
      </c>
      <c r="J8" s="45" t="s">
        <v>144</v>
      </c>
      <c r="K8" s="40">
        <v>1.6365485759205295E-2</v>
      </c>
      <c r="M8">
        <f>K8*100</f>
        <v>1.6365485759205294</v>
      </c>
      <c r="N8" s="47"/>
    </row>
    <row r="9" spans="2:15" x14ac:dyDescent="0.25">
      <c r="B9">
        <v>991</v>
      </c>
      <c r="C9">
        <v>510700</v>
      </c>
      <c r="E9" s="45" t="s">
        <v>144</v>
      </c>
      <c r="G9" s="187" t="s">
        <v>186</v>
      </c>
      <c r="H9" s="188"/>
      <c r="J9" s="36" t="s">
        <v>145</v>
      </c>
      <c r="K9" s="36">
        <v>11618.659415552742</v>
      </c>
      <c r="M9">
        <f>M7-M8</f>
        <v>4.098477142669978</v>
      </c>
    </row>
    <row r="10" spans="2:15" ht="15.75" thickBot="1" x14ac:dyDescent="0.3">
      <c r="B10">
        <v>904</v>
      </c>
      <c r="C10">
        <v>505800</v>
      </c>
      <c r="E10" s="45" t="s">
        <v>151</v>
      </c>
      <c r="G10" s="189"/>
      <c r="H10" s="190"/>
      <c r="J10" s="46" t="s">
        <v>146</v>
      </c>
      <c r="K10" s="41">
        <v>25</v>
      </c>
    </row>
    <row r="11" spans="2:15" ht="15.75" thickBot="1" x14ac:dyDescent="0.3">
      <c r="B11">
        <v>783</v>
      </c>
      <c r="C11">
        <v>508800</v>
      </c>
      <c r="E11" s="46" t="s">
        <v>164</v>
      </c>
      <c r="G11" s="189"/>
      <c r="H11" s="190"/>
    </row>
    <row r="12" spans="2:15" ht="15.75" thickBot="1" x14ac:dyDescent="0.3">
      <c r="B12">
        <v>981</v>
      </c>
      <c r="C12">
        <v>508200</v>
      </c>
      <c r="E12" s="44" t="s">
        <v>158</v>
      </c>
      <c r="G12" s="189"/>
      <c r="H12" s="190"/>
      <c r="J12" t="s">
        <v>147</v>
      </c>
    </row>
    <row r="13" spans="2:15" ht="15.75" thickBot="1" x14ac:dyDescent="0.3">
      <c r="B13">
        <v>798</v>
      </c>
      <c r="C13">
        <v>509500</v>
      </c>
      <c r="G13" s="191"/>
      <c r="H13" s="192"/>
      <c r="J13" s="38"/>
      <c r="K13" s="38" t="s">
        <v>152</v>
      </c>
      <c r="L13" s="38" t="s">
        <v>153</v>
      </c>
      <c r="M13" s="38" t="s">
        <v>154</v>
      </c>
      <c r="N13" s="38" t="s">
        <v>155</v>
      </c>
      <c r="O13" s="38" t="s">
        <v>156</v>
      </c>
    </row>
    <row r="14" spans="2:15" x14ac:dyDescent="0.25">
      <c r="B14">
        <v>537</v>
      </c>
      <c r="C14">
        <v>506300</v>
      </c>
      <c r="J14" s="36" t="s">
        <v>148</v>
      </c>
      <c r="K14" s="36">
        <v>1</v>
      </c>
      <c r="L14" s="36">
        <v>188896927.86391449</v>
      </c>
      <c r="M14" s="36">
        <v>188896927.86391449</v>
      </c>
      <c r="N14" s="36">
        <v>1.3993065031111509</v>
      </c>
      <c r="O14" s="36">
        <v>0.24892372501588783</v>
      </c>
    </row>
    <row r="15" spans="2:15" x14ac:dyDescent="0.25">
      <c r="B15">
        <v>544</v>
      </c>
      <c r="C15">
        <v>504500</v>
      </c>
      <c r="J15" s="36" t="s">
        <v>149</v>
      </c>
      <c r="K15" s="36">
        <v>23</v>
      </c>
      <c r="L15" s="36">
        <v>3104844672.1360855</v>
      </c>
      <c r="M15" s="36">
        <v>134993246.6146124</v>
      </c>
      <c r="N15" s="36"/>
      <c r="O15" s="36"/>
    </row>
    <row r="16" spans="2:15" ht="15.75" thickBot="1" x14ac:dyDescent="0.3">
      <c r="B16">
        <v>725</v>
      </c>
      <c r="C16">
        <v>507800</v>
      </c>
      <c r="J16" s="37" t="s">
        <v>150</v>
      </c>
      <c r="K16" s="37">
        <v>24</v>
      </c>
      <c r="L16" s="37">
        <v>3293741600</v>
      </c>
      <c r="M16" s="37"/>
      <c r="N16" s="37"/>
      <c r="O16" s="37"/>
    </row>
    <row r="17" spans="2:18" ht="15.75" thickBot="1" x14ac:dyDescent="0.3">
      <c r="B17">
        <v>854</v>
      </c>
      <c r="C17">
        <v>510800</v>
      </c>
    </row>
    <row r="18" spans="2:18" x14ac:dyDescent="0.25">
      <c r="B18">
        <v>944</v>
      </c>
      <c r="C18">
        <v>517800</v>
      </c>
      <c r="J18" s="38"/>
      <c r="K18" s="38" t="s">
        <v>157</v>
      </c>
      <c r="L18" s="38" t="s">
        <v>145</v>
      </c>
      <c r="M18" s="62" t="s">
        <v>158</v>
      </c>
      <c r="N18" s="38" t="s">
        <v>159</v>
      </c>
      <c r="O18" s="38" t="s">
        <v>160</v>
      </c>
      <c r="P18" s="38" t="s">
        <v>161</v>
      </c>
      <c r="Q18" s="38" t="s">
        <v>162</v>
      </c>
      <c r="R18" s="38" t="s">
        <v>163</v>
      </c>
    </row>
    <row r="19" spans="2:18" x14ac:dyDescent="0.25">
      <c r="B19">
        <v>1332</v>
      </c>
      <c r="C19">
        <v>512500</v>
      </c>
      <c r="H19" t="s">
        <v>190</v>
      </c>
      <c r="I19" t="str">
        <f>E4</f>
        <v>Prices in V Island</v>
      </c>
      <c r="J19" s="49" t="s">
        <v>151</v>
      </c>
      <c r="K19" s="50">
        <v>497002.37420231808</v>
      </c>
      <c r="L19" s="36">
        <v>9710.9895261068468</v>
      </c>
      <c r="M19" s="63">
        <v>51.179374961345182</v>
      </c>
      <c r="N19" s="36">
        <v>3.3506186110413981E-25</v>
      </c>
      <c r="O19" s="36">
        <v>476913.66181443748</v>
      </c>
      <c r="P19" s="36">
        <v>517091.08659019868</v>
      </c>
      <c r="Q19" s="36">
        <v>476913.66181443748</v>
      </c>
      <c r="R19" s="36">
        <v>517091.08659019868</v>
      </c>
    </row>
    <row r="20" spans="2:18" ht="15.75" thickBot="1" x14ac:dyDescent="0.3">
      <c r="B20">
        <v>1136</v>
      </c>
      <c r="C20">
        <v>514400</v>
      </c>
      <c r="G20" t="s">
        <v>215</v>
      </c>
      <c r="H20" t="s">
        <v>189</v>
      </c>
      <c r="I20" t="str">
        <f>G4</f>
        <v>Sales in Vancouver</v>
      </c>
      <c r="J20" s="46" t="s">
        <v>165</v>
      </c>
      <c r="K20" s="48">
        <v>10.961148038132318</v>
      </c>
      <c r="L20" s="37">
        <v>9.2661562034544449</v>
      </c>
      <c r="M20" s="64">
        <v>1.1829228643961318</v>
      </c>
      <c r="N20" s="37">
        <v>0.24892372501588764</v>
      </c>
      <c r="O20" s="37">
        <v>-8.2073565114753997</v>
      </c>
      <c r="P20" s="37">
        <v>30.129652587740036</v>
      </c>
      <c r="Q20" s="37">
        <v>-8.2073565114753997</v>
      </c>
      <c r="R20" s="37">
        <v>30.129652587740036</v>
      </c>
    </row>
    <row r="21" spans="2:18" x14ac:dyDescent="0.25">
      <c r="B21">
        <v>1314</v>
      </c>
      <c r="C21">
        <v>513700</v>
      </c>
    </row>
    <row r="22" spans="2:18" x14ac:dyDescent="0.25">
      <c r="B22">
        <v>1115</v>
      </c>
      <c r="C22">
        <v>515400</v>
      </c>
      <c r="H22" s="182" t="s">
        <v>217</v>
      </c>
      <c r="I22" s="182" t="s">
        <v>216</v>
      </c>
      <c r="J22" s="182"/>
      <c r="K22" s="182"/>
      <c r="L22" s="182"/>
      <c r="M22" s="182"/>
      <c r="N22" s="182"/>
      <c r="O22" s="182"/>
      <c r="P22" s="182"/>
    </row>
    <row r="23" spans="2:18" x14ac:dyDescent="0.25">
      <c r="B23">
        <v>1167</v>
      </c>
      <c r="C23">
        <v>523100</v>
      </c>
      <c r="H23" s="182"/>
      <c r="I23" s="182" t="s">
        <v>191</v>
      </c>
      <c r="J23" s="182"/>
      <c r="K23" s="182"/>
      <c r="L23" s="182"/>
      <c r="M23" s="182"/>
      <c r="N23" s="182"/>
      <c r="O23" s="182"/>
      <c r="P23" s="182"/>
    </row>
    <row r="24" spans="2:18" x14ac:dyDescent="0.25">
      <c r="B24">
        <v>1474</v>
      </c>
      <c r="C24">
        <v>521800</v>
      </c>
      <c r="H24" s="182"/>
      <c r="I24" s="182" t="s">
        <v>192</v>
      </c>
      <c r="J24" s="182"/>
      <c r="K24" s="182"/>
      <c r="L24" s="182"/>
      <c r="M24" s="182"/>
      <c r="N24" s="182"/>
      <c r="O24" s="182"/>
      <c r="P24" s="182"/>
    </row>
    <row r="25" spans="2:18" x14ac:dyDescent="0.25">
      <c r="B25">
        <v>1276</v>
      </c>
      <c r="C25">
        <v>517100</v>
      </c>
      <c r="H25" t="s">
        <v>151</v>
      </c>
      <c r="I25" s="182" t="s">
        <v>218</v>
      </c>
      <c r="J25" s="182"/>
      <c r="K25" s="182"/>
      <c r="L25" s="182"/>
      <c r="M25" s="182"/>
      <c r="N25" s="182"/>
      <c r="O25" s="182"/>
    </row>
    <row r="26" spans="2:18" x14ac:dyDescent="0.25">
      <c r="B26">
        <v>963</v>
      </c>
      <c r="C26">
        <v>518000</v>
      </c>
    </row>
    <row r="27" spans="2:18" x14ac:dyDescent="0.25">
      <c r="B27">
        <v>757</v>
      </c>
      <c r="C27">
        <v>515400</v>
      </c>
    </row>
    <row r="30" spans="2:18" x14ac:dyDescent="0.25">
      <c r="C30" t="s">
        <v>140</v>
      </c>
    </row>
    <row r="31" spans="2:18" ht="15.75" thickBot="1" x14ac:dyDescent="0.3"/>
    <row r="32" spans="2:18" x14ac:dyDescent="0.25">
      <c r="C32" s="39" t="s">
        <v>141</v>
      </c>
      <c r="D32" s="39"/>
    </row>
    <row r="33" spans="3:11" x14ac:dyDescent="0.25">
      <c r="C33" s="36" t="s">
        <v>142</v>
      </c>
      <c r="D33" s="36">
        <v>0.23947913726649567</v>
      </c>
    </row>
    <row r="34" spans="3:11" x14ac:dyDescent="0.25">
      <c r="C34" s="36" t="s">
        <v>143</v>
      </c>
      <c r="D34" s="36">
        <v>5.7350257185905078E-2</v>
      </c>
    </row>
    <row r="35" spans="3:11" x14ac:dyDescent="0.25">
      <c r="C35" s="36" t="s">
        <v>144</v>
      </c>
      <c r="D35" s="36">
        <v>1.6365485759205295E-2</v>
      </c>
    </row>
    <row r="36" spans="3:11" x14ac:dyDescent="0.25">
      <c r="C36" s="36" t="s">
        <v>145</v>
      </c>
      <c r="D36" s="36">
        <v>11618.659415552742</v>
      </c>
    </row>
    <row r="37" spans="3:11" ht="15.75" thickBot="1" x14ac:dyDescent="0.3">
      <c r="C37" s="37" t="s">
        <v>146</v>
      </c>
      <c r="D37" s="37">
        <v>25</v>
      </c>
    </row>
    <row r="39" spans="3:11" ht="15.75" thickBot="1" x14ac:dyDescent="0.3">
      <c r="C39" t="s">
        <v>147</v>
      </c>
    </row>
    <row r="40" spans="3:11" x14ac:dyDescent="0.25">
      <c r="C40" s="38"/>
      <c r="D40" s="38" t="s">
        <v>152</v>
      </c>
      <c r="E40" s="38" t="s">
        <v>153</v>
      </c>
      <c r="F40" s="38" t="s">
        <v>154</v>
      </c>
      <c r="G40" s="38" t="s">
        <v>155</v>
      </c>
      <c r="H40" s="38" t="s">
        <v>156</v>
      </c>
    </row>
    <row r="41" spans="3:11" x14ac:dyDescent="0.25">
      <c r="C41" s="36" t="s">
        <v>148</v>
      </c>
      <c r="D41" s="36">
        <v>1</v>
      </c>
      <c r="E41" s="36">
        <v>188896927.86391449</v>
      </c>
      <c r="F41" s="36">
        <v>188896927.86391449</v>
      </c>
      <c r="G41" s="36">
        <v>1.3993065031111509</v>
      </c>
      <c r="H41" s="36">
        <v>0.24892372501588783</v>
      </c>
    </row>
    <row r="42" spans="3:11" x14ac:dyDescent="0.25">
      <c r="C42" s="36" t="s">
        <v>149</v>
      </c>
      <c r="D42" s="36">
        <v>23</v>
      </c>
      <c r="E42" s="36">
        <v>3104844672.1360855</v>
      </c>
      <c r="F42" s="36">
        <v>134993246.6146124</v>
      </c>
      <c r="G42" s="36"/>
      <c r="H42" s="36"/>
    </row>
    <row r="43" spans="3:11" ht="15.75" thickBot="1" x14ac:dyDescent="0.3">
      <c r="C43" s="37" t="s">
        <v>150</v>
      </c>
      <c r="D43" s="37">
        <v>24</v>
      </c>
      <c r="E43" s="37">
        <v>3293741600</v>
      </c>
      <c r="F43" s="37"/>
      <c r="G43" s="37"/>
      <c r="H43" s="37"/>
    </row>
    <row r="44" spans="3:11" ht="15.75" thickBot="1" x14ac:dyDescent="0.3"/>
    <row r="45" spans="3:11" x14ac:dyDescent="0.25">
      <c r="C45" s="38"/>
      <c r="D45" s="38" t="s">
        <v>157</v>
      </c>
      <c r="E45" s="38" t="s">
        <v>145</v>
      </c>
      <c r="F45" s="38" t="s">
        <v>158</v>
      </c>
      <c r="G45" s="38" t="s">
        <v>159</v>
      </c>
      <c r="H45" s="38" t="s">
        <v>160</v>
      </c>
      <c r="I45" s="38" t="s">
        <v>161</v>
      </c>
      <c r="J45" s="38" t="s">
        <v>162</v>
      </c>
      <c r="K45" s="38" t="s">
        <v>163</v>
      </c>
    </row>
    <row r="46" spans="3:11" x14ac:dyDescent="0.25">
      <c r="C46" s="36" t="s">
        <v>151</v>
      </c>
      <c r="D46" s="36">
        <v>497002.37420231808</v>
      </c>
      <c r="E46" s="36">
        <v>9710.9895261068468</v>
      </c>
      <c r="F46" s="36">
        <v>51.179374961345182</v>
      </c>
      <c r="G46" s="36">
        <v>3.3506186110413981E-25</v>
      </c>
      <c r="H46" s="36">
        <v>476913.66181443748</v>
      </c>
      <c r="I46" s="36">
        <v>517091.08659019868</v>
      </c>
      <c r="J46" s="36">
        <v>476913.66181443748</v>
      </c>
      <c r="K46" s="36">
        <v>517091.08659019868</v>
      </c>
    </row>
    <row r="47" spans="3:11" ht="15.75" thickBot="1" x14ac:dyDescent="0.3">
      <c r="C47" s="37" t="s">
        <v>164</v>
      </c>
      <c r="D47" s="37">
        <v>10.961148038132318</v>
      </c>
      <c r="E47" s="37">
        <v>9.2661562034544449</v>
      </c>
      <c r="F47" s="37">
        <v>1.1829228643961318</v>
      </c>
      <c r="G47" s="37">
        <v>0.24892372501588764</v>
      </c>
      <c r="H47" s="37">
        <v>-8.2073565114753997</v>
      </c>
      <c r="I47" s="37">
        <v>30.129652587740036</v>
      </c>
      <c r="J47" s="37">
        <v>-8.2073565114753997</v>
      </c>
      <c r="K47" s="37">
        <v>30.129652587740036</v>
      </c>
    </row>
  </sheetData>
  <mergeCells count="8">
    <mergeCell ref="I25:O25"/>
    <mergeCell ref="I24:P24"/>
    <mergeCell ref="E6:H6"/>
    <mergeCell ref="E7:H7"/>
    <mergeCell ref="G9:H13"/>
    <mergeCell ref="I22:P22"/>
    <mergeCell ref="I23:P23"/>
    <mergeCell ref="H22:H2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54FD-EB85-45CA-B509-DB1FA63EAC40}">
  <dimension ref="B2:N258"/>
  <sheetViews>
    <sheetView topLeftCell="A3" workbookViewId="0">
      <selection activeCell="F22" sqref="F22:P24"/>
    </sheetView>
  </sheetViews>
  <sheetFormatPr defaultRowHeight="15" x14ac:dyDescent="0.25"/>
  <cols>
    <col min="7" max="7" width="12.7109375" bestFit="1" customWidth="1"/>
  </cols>
  <sheetData>
    <row r="2" spans="2:11" x14ac:dyDescent="0.25">
      <c r="B2" t="s">
        <v>219</v>
      </c>
    </row>
    <row r="3" spans="2:11" x14ac:dyDescent="0.25">
      <c r="B3" t="s">
        <v>223</v>
      </c>
      <c r="C3" t="s">
        <v>222</v>
      </c>
    </row>
    <row r="4" spans="2:11" x14ac:dyDescent="0.25">
      <c r="B4" t="s">
        <v>134</v>
      </c>
      <c r="C4" t="s">
        <v>135</v>
      </c>
    </row>
    <row r="5" spans="2:11" x14ac:dyDescent="0.25">
      <c r="B5" t="s">
        <v>220</v>
      </c>
      <c r="C5" t="s">
        <v>221</v>
      </c>
      <c r="F5" t="s">
        <v>140</v>
      </c>
    </row>
    <row r="6" spans="2:11" ht="15.75" thickBot="1" x14ac:dyDescent="0.3">
      <c r="B6">
        <v>3108.459961</v>
      </c>
      <c r="C6">
        <v>70.444000000000003</v>
      </c>
    </row>
    <row r="7" spans="2:11" x14ac:dyDescent="0.25">
      <c r="B7">
        <v>3103.540039</v>
      </c>
      <c r="C7">
        <v>70.966003000000001</v>
      </c>
      <c r="F7" s="39" t="s">
        <v>141</v>
      </c>
      <c r="G7" s="39"/>
    </row>
    <row r="8" spans="2:11" x14ac:dyDescent="0.25">
      <c r="B8">
        <v>3110.290039</v>
      </c>
      <c r="C8">
        <v>66.608001999999999</v>
      </c>
      <c r="F8" s="36" t="s">
        <v>142</v>
      </c>
      <c r="G8" s="36">
        <v>0.65213070985011101</v>
      </c>
    </row>
    <row r="9" spans="2:11" x14ac:dyDescent="0.25">
      <c r="B9">
        <v>3133.639893</v>
      </c>
      <c r="C9">
        <v>67.267998000000006</v>
      </c>
      <c r="F9" s="40" t="s">
        <v>143</v>
      </c>
      <c r="G9" s="40">
        <v>0.42527446272960961</v>
      </c>
      <c r="I9" s="7">
        <f>G9</f>
        <v>0.42527446272960961</v>
      </c>
    </row>
    <row r="10" spans="2:11" x14ac:dyDescent="0.25">
      <c r="B10">
        <v>3140.5200199999999</v>
      </c>
      <c r="C10">
        <v>65.783996999999999</v>
      </c>
      <c r="F10" s="40" t="s">
        <v>144</v>
      </c>
      <c r="G10" s="40">
        <v>0.42298471955323352</v>
      </c>
      <c r="I10" s="7">
        <f>G10</f>
        <v>0.42298471955323352</v>
      </c>
    </row>
    <row r="11" spans="2:11" x14ac:dyDescent="0.25">
      <c r="B11">
        <v>3153.6298830000001</v>
      </c>
      <c r="C11">
        <v>66.258003000000002</v>
      </c>
      <c r="F11" s="36" t="s">
        <v>145</v>
      </c>
      <c r="G11" s="36">
        <v>101.20293141300338</v>
      </c>
    </row>
    <row r="12" spans="2:11" ht="15.75" thickBot="1" x14ac:dyDescent="0.3">
      <c r="B12">
        <v>3140.9799800000001</v>
      </c>
      <c r="C12">
        <v>65.987999000000002</v>
      </c>
      <c r="F12" s="37" t="s">
        <v>146</v>
      </c>
      <c r="G12" s="37">
        <v>253</v>
      </c>
    </row>
    <row r="13" spans="2:11" x14ac:dyDescent="0.25">
      <c r="B13">
        <v>3113.8701169999999</v>
      </c>
      <c r="C13">
        <v>66.973999000000006</v>
      </c>
    </row>
    <row r="14" spans="2:11" ht="15.75" thickBot="1" x14ac:dyDescent="0.3">
      <c r="B14">
        <v>3093.1999510000001</v>
      </c>
      <c r="C14">
        <v>67.239998</v>
      </c>
      <c r="F14" t="s">
        <v>147</v>
      </c>
    </row>
    <row r="15" spans="2:11" x14ac:dyDescent="0.25">
      <c r="B15">
        <v>3112.76001</v>
      </c>
      <c r="C15">
        <v>66.606003000000001</v>
      </c>
      <c r="F15" s="38"/>
      <c r="G15" s="38" t="s">
        <v>152</v>
      </c>
      <c r="H15" s="38" t="s">
        <v>153</v>
      </c>
      <c r="I15" s="38" t="s">
        <v>154</v>
      </c>
      <c r="J15" s="38" t="s">
        <v>155</v>
      </c>
      <c r="K15" s="38" t="s">
        <v>156</v>
      </c>
    </row>
    <row r="16" spans="2:11" x14ac:dyDescent="0.25">
      <c r="B16">
        <v>3117.429932</v>
      </c>
      <c r="C16">
        <v>66.073997000000006</v>
      </c>
      <c r="F16" s="36" t="s">
        <v>148</v>
      </c>
      <c r="G16" s="36">
        <v>1</v>
      </c>
      <c r="H16" s="36">
        <v>1902254.9188751741</v>
      </c>
      <c r="I16" s="36">
        <v>1902254.9188751741</v>
      </c>
      <c r="J16" s="36">
        <v>185.73020202321783</v>
      </c>
      <c r="K16" s="36">
        <v>4.9812483793878348E-32</v>
      </c>
    </row>
    <row r="17" spans="2:14" x14ac:dyDescent="0.25">
      <c r="B17">
        <v>3145.9099120000001</v>
      </c>
      <c r="C17">
        <v>67.178000999999995</v>
      </c>
      <c r="F17" s="36" t="s">
        <v>149</v>
      </c>
      <c r="G17" s="36">
        <v>251</v>
      </c>
      <c r="H17" s="36">
        <v>2570750.3649728517</v>
      </c>
      <c r="I17" s="36">
        <v>10242.033326585066</v>
      </c>
      <c r="J17" s="36"/>
      <c r="K17" s="36"/>
    </row>
    <row r="18" spans="2:14" ht="15.75" thickBot="1" x14ac:dyDescent="0.3">
      <c r="B18">
        <v>3135.959961</v>
      </c>
      <c r="C18">
        <v>67.905997999999997</v>
      </c>
      <c r="F18" s="37" t="s">
        <v>150</v>
      </c>
      <c r="G18" s="37">
        <v>252</v>
      </c>
      <c r="H18" s="37">
        <v>4473005.2838480258</v>
      </c>
      <c r="I18" s="37"/>
      <c r="J18" s="37"/>
      <c r="K18" s="37"/>
    </row>
    <row r="19" spans="2:14" ht="15.75" thickBot="1" x14ac:dyDescent="0.3">
      <c r="B19">
        <v>3132.5200199999999</v>
      </c>
      <c r="C19">
        <v>69.767998000000006</v>
      </c>
    </row>
    <row r="20" spans="2:14" x14ac:dyDescent="0.25">
      <c r="B20">
        <v>3141.6298830000001</v>
      </c>
      <c r="C20">
        <v>70.540001000000004</v>
      </c>
      <c r="F20" s="57"/>
      <c r="G20" s="57" t="s">
        <v>157</v>
      </c>
      <c r="H20" s="38" t="s">
        <v>145</v>
      </c>
      <c r="I20" s="57" t="s">
        <v>158</v>
      </c>
      <c r="J20" s="38" t="s">
        <v>159</v>
      </c>
      <c r="K20" s="38" t="s">
        <v>160</v>
      </c>
      <c r="L20" s="38" t="s">
        <v>161</v>
      </c>
      <c r="M20" s="38" t="s">
        <v>162</v>
      </c>
      <c r="N20" s="38" t="s">
        <v>163</v>
      </c>
    </row>
    <row r="21" spans="2:14" x14ac:dyDescent="0.25">
      <c r="B21">
        <v>3168.570068</v>
      </c>
      <c r="C21">
        <v>71.935997</v>
      </c>
      <c r="F21" s="40" t="s">
        <v>151</v>
      </c>
      <c r="G21" s="40">
        <v>-769.43805110535357</v>
      </c>
      <c r="H21" s="36">
        <v>73.579463996835329</v>
      </c>
      <c r="I21" s="40">
        <v>-10.457239144042246</v>
      </c>
      <c r="J21" s="36">
        <v>1.7632121022399486E-21</v>
      </c>
      <c r="K21" s="36">
        <v>-914.34987898762108</v>
      </c>
      <c r="L21" s="36">
        <v>-624.52622322308605</v>
      </c>
      <c r="M21" s="36">
        <v>-914.34987898762108</v>
      </c>
      <c r="N21" s="36">
        <v>-624.52622322308605</v>
      </c>
    </row>
    <row r="22" spans="2:14" ht="15.75" thickBot="1" x14ac:dyDescent="0.3">
      <c r="B22">
        <v>3168.8000489999999</v>
      </c>
      <c r="C22">
        <v>71.678000999999995</v>
      </c>
      <c r="F22" s="41" t="s">
        <v>217</v>
      </c>
      <c r="G22" s="41">
        <v>0.316029125694889</v>
      </c>
      <c r="H22" s="37">
        <v>2.3189204156757039E-2</v>
      </c>
      <c r="I22" s="41">
        <v>13.628286833759326</v>
      </c>
      <c r="J22" s="37">
        <v>4.9812483793879782E-32</v>
      </c>
      <c r="K22" s="37">
        <v>0.27035891040716592</v>
      </c>
      <c r="L22" s="37">
        <v>0.36169934098261208</v>
      </c>
      <c r="M22" s="37">
        <v>0.27035891040716592</v>
      </c>
      <c r="N22" s="37">
        <v>0.36169934098261208</v>
      </c>
    </row>
    <row r="23" spans="2:14" x14ac:dyDescent="0.25">
      <c r="B23">
        <v>3191.4499510000001</v>
      </c>
      <c r="C23">
        <v>76.300003000000004</v>
      </c>
    </row>
    <row r="24" spans="2:14" x14ac:dyDescent="0.25">
      <c r="B24">
        <v>3192.5200199999999</v>
      </c>
      <c r="C24">
        <v>75.797996999999995</v>
      </c>
    </row>
    <row r="25" spans="2:14" x14ac:dyDescent="0.25">
      <c r="B25">
        <v>3191.139893</v>
      </c>
      <c r="C25">
        <v>78.629997000000003</v>
      </c>
    </row>
    <row r="26" spans="2:14" x14ac:dyDescent="0.25">
      <c r="B26">
        <v>3205.3701169999999</v>
      </c>
      <c r="C26">
        <v>80.807998999999995</v>
      </c>
    </row>
    <row r="27" spans="2:14" x14ac:dyDescent="0.25">
      <c r="B27">
        <v>3221.219971</v>
      </c>
      <c r="C27">
        <v>81.117996000000005</v>
      </c>
    </row>
    <row r="28" spans="2:14" x14ac:dyDescent="0.25">
      <c r="B28">
        <v>3224.01001</v>
      </c>
      <c r="C28">
        <v>83.844002000000003</v>
      </c>
    </row>
    <row r="29" spans="2:14" x14ac:dyDescent="0.25">
      <c r="B29">
        <v>3223.3798830000001</v>
      </c>
      <c r="C29">
        <v>85.050003000000004</v>
      </c>
    </row>
    <row r="30" spans="2:14" x14ac:dyDescent="0.25">
      <c r="B30">
        <v>3239.9099120000001</v>
      </c>
      <c r="C30">
        <v>86.188004000000006</v>
      </c>
    </row>
    <row r="31" spans="2:14" x14ac:dyDescent="0.25">
      <c r="B31">
        <v>3240.0200199999999</v>
      </c>
      <c r="C31">
        <v>86.075996000000004</v>
      </c>
    </row>
    <row r="32" spans="2:14" x14ac:dyDescent="0.25">
      <c r="B32">
        <v>3221.290039</v>
      </c>
      <c r="C32">
        <v>82.940002000000007</v>
      </c>
    </row>
    <row r="33" spans="2:3" x14ac:dyDescent="0.25">
      <c r="B33">
        <v>3230.780029</v>
      </c>
      <c r="C33">
        <v>83.665999999999997</v>
      </c>
    </row>
    <row r="34" spans="2:3" x14ac:dyDescent="0.25">
      <c r="B34">
        <v>3257.8500979999999</v>
      </c>
      <c r="C34">
        <v>86.052002000000002</v>
      </c>
    </row>
    <row r="35" spans="2:3" x14ac:dyDescent="0.25">
      <c r="B35">
        <v>3234.8500979999999</v>
      </c>
      <c r="C35">
        <v>88.601996999999997</v>
      </c>
    </row>
    <row r="36" spans="2:3" x14ac:dyDescent="0.25">
      <c r="B36">
        <v>3246.280029</v>
      </c>
      <c r="C36">
        <v>90.307998999999995</v>
      </c>
    </row>
    <row r="37" spans="2:3" x14ac:dyDescent="0.25">
      <c r="B37">
        <v>3237.179932</v>
      </c>
      <c r="C37">
        <v>93.811995999999994</v>
      </c>
    </row>
    <row r="38" spans="2:3" x14ac:dyDescent="0.25">
      <c r="B38">
        <v>3253.0500489999999</v>
      </c>
      <c r="C38">
        <v>98.428000999999995</v>
      </c>
    </row>
    <row r="39" spans="2:3" x14ac:dyDescent="0.25">
      <c r="B39">
        <v>3274.6999510000001</v>
      </c>
      <c r="C39">
        <v>96.267998000000006</v>
      </c>
    </row>
    <row r="40" spans="2:3" x14ac:dyDescent="0.25">
      <c r="B40">
        <v>3265.3500979999999</v>
      </c>
      <c r="C40">
        <v>95.629997000000003</v>
      </c>
    </row>
    <row r="41" spans="2:3" x14ac:dyDescent="0.25">
      <c r="B41">
        <v>3288.1298830000001</v>
      </c>
      <c r="C41">
        <v>104.97199999999999</v>
      </c>
    </row>
    <row r="42" spans="2:3" x14ac:dyDescent="0.25">
      <c r="B42">
        <v>3283.1499020000001</v>
      </c>
      <c r="C42">
        <v>107.584</v>
      </c>
    </row>
    <row r="43" spans="2:3" x14ac:dyDescent="0.25">
      <c r="B43">
        <v>3289.290039</v>
      </c>
      <c r="C43">
        <v>103.699997</v>
      </c>
    </row>
    <row r="44" spans="2:3" x14ac:dyDescent="0.25">
      <c r="B44">
        <v>3316.8100589999999</v>
      </c>
      <c r="C44">
        <v>102.697998</v>
      </c>
    </row>
    <row r="45" spans="2:3" x14ac:dyDescent="0.25">
      <c r="B45">
        <v>3329.6201169999999</v>
      </c>
      <c r="C45">
        <v>102.099998</v>
      </c>
    </row>
    <row r="46" spans="2:3" x14ac:dyDescent="0.25">
      <c r="B46">
        <v>3320.790039</v>
      </c>
      <c r="C46">
        <v>109.44000200000001</v>
      </c>
    </row>
    <row r="47" spans="2:3" x14ac:dyDescent="0.25">
      <c r="B47">
        <v>3321.75</v>
      </c>
      <c r="C47">
        <v>113.912003</v>
      </c>
    </row>
    <row r="48" spans="2:3" x14ac:dyDescent="0.25">
      <c r="B48">
        <v>3325.540039</v>
      </c>
      <c r="C48">
        <v>114.44000200000001</v>
      </c>
    </row>
    <row r="49" spans="2:3" x14ac:dyDescent="0.25">
      <c r="B49">
        <v>3295.469971</v>
      </c>
      <c r="C49">
        <v>112.96399700000001</v>
      </c>
    </row>
    <row r="50" spans="2:3" x14ac:dyDescent="0.25">
      <c r="B50">
        <v>3243.6298830000001</v>
      </c>
      <c r="C50">
        <v>111.603996</v>
      </c>
    </row>
    <row r="51" spans="2:3" x14ac:dyDescent="0.25">
      <c r="B51">
        <v>3276.23999</v>
      </c>
      <c r="C51">
        <v>113.379997</v>
      </c>
    </row>
    <row r="52" spans="2:3" x14ac:dyDescent="0.25">
      <c r="B52">
        <v>3273.3999020000001</v>
      </c>
      <c r="C52">
        <v>116.197998</v>
      </c>
    </row>
    <row r="53" spans="2:3" x14ac:dyDescent="0.25">
      <c r="B53">
        <v>3283.6599120000001</v>
      </c>
      <c r="C53">
        <v>128.162003</v>
      </c>
    </row>
    <row r="54" spans="2:3" x14ac:dyDescent="0.25">
      <c r="B54">
        <v>3225.5200199999999</v>
      </c>
      <c r="C54">
        <v>130.11399800000001</v>
      </c>
    </row>
    <row r="55" spans="2:3" x14ac:dyDescent="0.25">
      <c r="B55">
        <v>3248.919922</v>
      </c>
      <c r="C55">
        <v>156</v>
      </c>
    </row>
    <row r="56" spans="2:3" x14ac:dyDescent="0.25">
      <c r="B56">
        <v>3297.5900879999999</v>
      </c>
      <c r="C56">
        <v>177.412003</v>
      </c>
    </row>
    <row r="57" spans="2:3" x14ac:dyDescent="0.25">
      <c r="B57">
        <v>3334.6899410000001</v>
      </c>
      <c r="C57">
        <v>146.94000199999999</v>
      </c>
    </row>
    <row r="58" spans="2:3" x14ac:dyDescent="0.25">
      <c r="B58">
        <v>3345.780029</v>
      </c>
      <c r="C58">
        <v>149.79200700000001</v>
      </c>
    </row>
    <row r="59" spans="2:3" x14ac:dyDescent="0.25">
      <c r="B59">
        <v>3327.709961</v>
      </c>
      <c r="C59">
        <v>149.61399800000001</v>
      </c>
    </row>
    <row r="60" spans="2:3" x14ac:dyDescent="0.25">
      <c r="B60">
        <v>3352.0900879999999</v>
      </c>
      <c r="C60">
        <v>154.25599700000001</v>
      </c>
    </row>
    <row r="61" spans="2:3" x14ac:dyDescent="0.25">
      <c r="B61">
        <v>3357.75</v>
      </c>
      <c r="C61">
        <v>154.87600699999999</v>
      </c>
    </row>
    <row r="62" spans="2:3" x14ac:dyDescent="0.25">
      <c r="B62">
        <v>3379.4499510000001</v>
      </c>
      <c r="C62">
        <v>153.45799299999999</v>
      </c>
    </row>
    <row r="63" spans="2:3" x14ac:dyDescent="0.25">
      <c r="B63">
        <v>3373.9399410000001</v>
      </c>
      <c r="C63">
        <v>160.800003</v>
      </c>
    </row>
    <row r="64" spans="2:3" x14ac:dyDescent="0.25">
      <c r="B64">
        <v>3380.1599120000001</v>
      </c>
      <c r="C64">
        <v>160.00599700000001</v>
      </c>
    </row>
    <row r="65" spans="2:3" x14ac:dyDescent="0.25">
      <c r="B65">
        <v>3370.290039</v>
      </c>
      <c r="C65">
        <v>171.679993</v>
      </c>
    </row>
    <row r="66" spans="2:3" x14ac:dyDescent="0.25">
      <c r="B66">
        <v>3386.1499020000001</v>
      </c>
      <c r="C66">
        <v>183.483994</v>
      </c>
    </row>
    <row r="67" spans="2:3" x14ac:dyDescent="0.25">
      <c r="B67">
        <v>3373.2299800000001</v>
      </c>
      <c r="C67">
        <v>179.88200399999999</v>
      </c>
    </row>
    <row r="68" spans="2:3" x14ac:dyDescent="0.25">
      <c r="B68">
        <v>3337.75</v>
      </c>
      <c r="C68">
        <v>180.199997</v>
      </c>
    </row>
    <row r="69" spans="2:3" x14ac:dyDescent="0.25">
      <c r="B69">
        <v>3225.889893</v>
      </c>
      <c r="C69">
        <v>166.75799599999999</v>
      </c>
    </row>
    <row r="70" spans="2:3" x14ac:dyDescent="0.25">
      <c r="B70">
        <v>3128.209961</v>
      </c>
      <c r="C70">
        <v>159.98199500000001</v>
      </c>
    </row>
    <row r="71" spans="2:3" x14ac:dyDescent="0.25">
      <c r="B71">
        <v>3116.389893</v>
      </c>
      <c r="C71">
        <v>155.759995</v>
      </c>
    </row>
    <row r="72" spans="2:3" x14ac:dyDescent="0.25">
      <c r="B72">
        <v>2978.76001</v>
      </c>
      <c r="C72">
        <v>135.800003</v>
      </c>
    </row>
    <row r="73" spans="2:3" x14ac:dyDescent="0.25">
      <c r="B73">
        <v>2954.219971</v>
      </c>
      <c r="C73">
        <v>133.598007</v>
      </c>
    </row>
    <row r="74" spans="2:3" x14ac:dyDescent="0.25">
      <c r="B74">
        <v>3090.2299800000001</v>
      </c>
      <c r="C74">
        <v>148.72399899999999</v>
      </c>
    </row>
    <row r="75" spans="2:3" x14ac:dyDescent="0.25">
      <c r="B75">
        <v>3003.3701169999999</v>
      </c>
      <c r="C75">
        <v>149.10200499999999</v>
      </c>
    </row>
    <row r="76" spans="2:3" x14ac:dyDescent="0.25">
      <c r="B76">
        <v>3130.1201169999999</v>
      </c>
      <c r="C76">
        <v>149.89999399999999</v>
      </c>
    </row>
    <row r="77" spans="2:3" x14ac:dyDescent="0.25">
      <c r="B77">
        <v>3023.9399410000001</v>
      </c>
      <c r="C77">
        <v>144.908005</v>
      </c>
    </row>
    <row r="78" spans="2:3" x14ac:dyDescent="0.25">
      <c r="B78">
        <v>2972.3701169999999</v>
      </c>
      <c r="C78">
        <v>140.695999</v>
      </c>
    </row>
    <row r="79" spans="2:3" x14ac:dyDescent="0.25">
      <c r="B79">
        <v>2746.5600589999999</v>
      </c>
      <c r="C79">
        <v>121.599998</v>
      </c>
    </row>
    <row r="80" spans="2:3" x14ac:dyDescent="0.25">
      <c r="B80">
        <v>2882.2299800000001</v>
      </c>
      <c r="C80">
        <v>129.06599399999999</v>
      </c>
    </row>
    <row r="81" spans="2:3" x14ac:dyDescent="0.25">
      <c r="B81">
        <v>2741.3798830000001</v>
      </c>
      <c r="C81">
        <v>126.846001</v>
      </c>
    </row>
    <row r="82" spans="2:3" x14ac:dyDescent="0.25">
      <c r="B82">
        <v>2480.639893</v>
      </c>
      <c r="C82">
        <v>112.110001</v>
      </c>
    </row>
    <row r="83" spans="2:3" x14ac:dyDescent="0.25">
      <c r="B83">
        <v>2711.0200199999999</v>
      </c>
      <c r="C83">
        <v>109.32399700000001</v>
      </c>
    </row>
    <row r="84" spans="2:3" x14ac:dyDescent="0.25">
      <c r="B84">
        <v>2386.1298830000001</v>
      </c>
      <c r="C84">
        <v>89.013999999999996</v>
      </c>
    </row>
    <row r="85" spans="2:3" x14ac:dyDescent="0.25">
      <c r="B85">
        <v>2529.1899410000001</v>
      </c>
      <c r="C85">
        <v>86.040001000000004</v>
      </c>
    </row>
    <row r="86" spans="2:3" x14ac:dyDescent="0.25">
      <c r="B86">
        <v>2398.1000979999999</v>
      </c>
      <c r="C86">
        <v>72.244003000000006</v>
      </c>
    </row>
    <row r="87" spans="2:3" x14ac:dyDescent="0.25">
      <c r="B87">
        <v>2409.389893</v>
      </c>
      <c r="C87">
        <v>85.528000000000006</v>
      </c>
    </row>
    <row r="88" spans="2:3" x14ac:dyDescent="0.25">
      <c r="B88">
        <v>2304.919922</v>
      </c>
      <c r="C88">
        <v>85.505996999999994</v>
      </c>
    </row>
    <row r="89" spans="2:3" x14ac:dyDescent="0.25">
      <c r="B89">
        <v>2237.3999020000001</v>
      </c>
      <c r="C89">
        <v>86.858001999999999</v>
      </c>
    </row>
    <row r="90" spans="2:3" x14ac:dyDescent="0.25">
      <c r="B90">
        <v>2447.330078</v>
      </c>
      <c r="C90">
        <v>101</v>
      </c>
    </row>
    <row r="91" spans="2:3" x14ac:dyDescent="0.25">
      <c r="B91">
        <v>2475.5600589999999</v>
      </c>
      <c r="C91">
        <v>107.849998</v>
      </c>
    </row>
    <row r="92" spans="2:3" x14ac:dyDescent="0.25">
      <c r="B92">
        <v>2630.070068</v>
      </c>
      <c r="C92">
        <v>105.63200399999999</v>
      </c>
    </row>
    <row r="93" spans="2:3" x14ac:dyDescent="0.25">
      <c r="B93">
        <v>2541.469971</v>
      </c>
      <c r="C93">
        <v>102.87200199999999</v>
      </c>
    </row>
    <row r="94" spans="2:3" x14ac:dyDescent="0.25">
      <c r="B94">
        <v>2626.6499020000001</v>
      </c>
      <c r="C94">
        <v>100.42600299999999</v>
      </c>
    </row>
    <row r="95" spans="2:3" x14ac:dyDescent="0.25">
      <c r="B95">
        <v>2584.5900879999999</v>
      </c>
      <c r="C95">
        <v>104.800003</v>
      </c>
    </row>
    <row r="96" spans="2:3" x14ac:dyDescent="0.25">
      <c r="B96">
        <v>2470.5</v>
      </c>
      <c r="C96">
        <v>96.311995999999994</v>
      </c>
    </row>
    <row r="97" spans="2:3" x14ac:dyDescent="0.25">
      <c r="B97">
        <v>2526.8999020000001</v>
      </c>
      <c r="C97">
        <v>90.893996999999999</v>
      </c>
    </row>
    <row r="98" spans="2:3" x14ac:dyDescent="0.25">
      <c r="B98">
        <v>2488.6499020000001</v>
      </c>
      <c r="C98">
        <v>96.001998999999998</v>
      </c>
    </row>
    <row r="99" spans="2:3" x14ac:dyDescent="0.25">
      <c r="B99">
        <v>2663.679932</v>
      </c>
      <c r="C99">
        <v>103.248001</v>
      </c>
    </row>
    <row r="100" spans="2:3" x14ac:dyDescent="0.25">
      <c r="B100">
        <v>2659.4099120000001</v>
      </c>
      <c r="C100">
        <v>109.089996</v>
      </c>
    </row>
    <row r="101" spans="2:3" x14ac:dyDescent="0.25">
      <c r="B101">
        <v>2749.9799800000001</v>
      </c>
      <c r="C101">
        <v>109.76799800000001</v>
      </c>
    </row>
    <row r="102" spans="2:3" x14ac:dyDescent="0.25">
      <c r="B102">
        <v>2789.820068</v>
      </c>
      <c r="C102">
        <v>114.599998</v>
      </c>
    </row>
    <row r="103" spans="2:3" x14ac:dyDescent="0.25">
      <c r="B103">
        <v>2761.6298830000001</v>
      </c>
      <c r="C103">
        <v>130.19000199999999</v>
      </c>
    </row>
    <row r="104" spans="2:3" x14ac:dyDescent="0.25">
      <c r="B104">
        <v>2846.0600589999999</v>
      </c>
      <c r="C104">
        <v>141.97799699999999</v>
      </c>
    </row>
    <row r="105" spans="2:3" x14ac:dyDescent="0.25">
      <c r="B105">
        <v>2783.360107</v>
      </c>
      <c r="C105">
        <v>145.966003</v>
      </c>
    </row>
    <row r="106" spans="2:3" x14ac:dyDescent="0.25">
      <c r="B106">
        <v>2799.5500489999999</v>
      </c>
      <c r="C106">
        <v>149.04200700000001</v>
      </c>
    </row>
    <row r="107" spans="2:3" x14ac:dyDescent="0.25">
      <c r="B107">
        <v>2874.5600589999999</v>
      </c>
      <c r="C107">
        <v>150.77799999999999</v>
      </c>
    </row>
    <row r="108" spans="2:3" x14ac:dyDescent="0.25">
      <c r="B108">
        <v>2823.1599120000001</v>
      </c>
      <c r="C108">
        <v>149.27200300000001</v>
      </c>
    </row>
    <row r="109" spans="2:3" x14ac:dyDescent="0.25">
      <c r="B109">
        <v>2736.5600589999999</v>
      </c>
      <c r="C109">
        <v>137.34399400000001</v>
      </c>
    </row>
    <row r="110" spans="2:3" x14ac:dyDescent="0.25">
      <c r="B110">
        <v>2799.3100589999999</v>
      </c>
      <c r="C110">
        <v>146.421997</v>
      </c>
    </row>
    <row r="111" spans="2:3" x14ac:dyDescent="0.25">
      <c r="B111">
        <v>2797.8000489999999</v>
      </c>
      <c r="C111">
        <v>141.12600699999999</v>
      </c>
    </row>
    <row r="112" spans="2:3" x14ac:dyDescent="0.25">
      <c r="B112">
        <v>2836.73999</v>
      </c>
      <c r="C112">
        <v>145.029999</v>
      </c>
    </row>
    <row r="113" spans="2:3" x14ac:dyDescent="0.25">
      <c r="B113">
        <v>2878.4799800000001</v>
      </c>
      <c r="C113">
        <v>159.75</v>
      </c>
    </row>
    <row r="114" spans="2:3" x14ac:dyDescent="0.25">
      <c r="B114">
        <v>2863.389893</v>
      </c>
      <c r="C114">
        <v>153.824005</v>
      </c>
    </row>
    <row r="115" spans="2:3" x14ac:dyDescent="0.25">
      <c r="B115">
        <v>2939.51001</v>
      </c>
      <c r="C115">
        <v>160.10200499999999</v>
      </c>
    </row>
    <row r="116" spans="2:3" x14ac:dyDescent="0.25">
      <c r="B116">
        <v>2912.429932</v>
      </c>
      <c r="C116">
        <v>156.37600699999999</v>
      </c>
    </row>
    <row r="117" spans="2:3" x14ac:dyDescent="0.25">
      <c r="B117">
        <v>2830.709961</v>
      </c>
      <c r="C117">
        <v>140.26400799999999</v>
      </c>
    </row>
    <row r="118" spans="2:3" x14ac:dyDescent="0.25">
      <c r="B118">
        <v>2842.73999</v>
      </c>
      <c r="C118">
        <v>152.23800700000001</v>
      </c>
    </row>
    <row r="119" spans="2:3" x14ac:dyDescent="0.25">
      <c r="B119">
        <v>2868.4399410000001</v>
      </c>
      <c r="C119">
        <v>153.641998</v>
      </c>
    </row>
    <row r="120" spans="2:3" x14ac:dyDescent="0.25">
      <c r="B120">
        <v>2848.419922</v>
      </c>
      <c r="C120">
        <v>156.516006</v>
      </c>
    </row>
    <row r="121" spans="2:3" x14ac:dyDescent="0.25">
      <c r="B121">
        <v>2881.1899410000001</v>
      </c>
      <c r="C121">
        <v>156.00799599999999</v>
      </c>
    </row>
    <row r="122" spans="2:3" x14ac:dyDescent="0.25">
      <c r="B122">
        <v>2929.8000489999999</v>
      </c>
      <c r="C122">
        <v>163.88400300000001</v>
      </c>
    </row>
    <row r="123" spans="2:3" x14ac:dyDescent="0.25">
      <c r="B123">
        <v>2930.1899410000001</v>
      </c>
      <c r="C123">
        <v>162.25799599999999</v>
      </c>
    </row>
    <row r="124" spans="2:3" x14ac:dyDescent="0.25">
      <c r="B124">
        <v>2870.1201169999999</v>
      </c>
      <c r="C124">
        <v>161.88200399999999</v>
      </c>
    </row>
    <row r="125" spans="2:3" x14ac:dyDescent="0.25">
      <c r="B125">
        <v>2820</v>
      </c>
      <c r="C125">
        <v>158.192001</v>
      </c>
    </row>
    <row r="126" spans="2:3" x14ac:dyDescent="0.25">
      <c r="B126">
        <v>2852.5</v>
      </c>
      <c r="C126">
        <v>160.666</v>
      </c>
    </row>
    <row r="127" spans="2:3" x14ac:dyDescent="0.25">
      <c r="B127">
        <v>2863.6999510000001</v>
      </c>
      <c r="C127">
        <v>159.834</v>
      </c>
    </row>
    <row r="128" spans="2:3" x14ac:dyDescent="0.25">
      <c r="B128">
        <v>2953.9099120000001</v>
      </c>
      <c r="C128">
        <v>162.725998</v>
      </c>
    </row>
    <row r="129" spans="2:3" x14ac:dyDescent="0.25">
      <c r="B129">
        <v>2922.9399410000001</v>
      </c>
      <c r="C129">
        <v>161.60200499999999</v>
      </c>
    </row>
    <row r="130" spans="2:3" x14ac:dyDescent="0.25">
      <c r="B130">
        <v>2971.610107</v>
      </c>
      <c r="C130">
        <v>163.11199999999999</v>
      </c>
    </row>
    <row r="131" spans="2:3" x14ac:dyDescent="0.25">
      <c r="B131">
        <v>2948.51001</v>
      </c>
      <c r="C131">
        <v>165.520004</v>
      </c>
    </row>
    <row r="132" spans="2:3" x14ac:dyDescent="0.25">
      <c r="B132">
        <v>2955.4499510000001</v>
      </c>
      <c r="C132">
        <v>163.37600699999999</v>
      </c>
    </row>
    <row r="133" spans="2:3" x14ac:dyDescent="0.25">
      <c r="B133">
        <v>2991.7700199999999</v>
      </c>
      <c r="C133">
        <v>163.774002</v>
      </c>
    </row>
    <row r="134" spans="2:3" x14ac:dyDescent="0.25">
      <c r="B134">
        <v>3036.1298830000001</v>
      </c>
      <c r="C134">
        <v>164.04600500000001</v>
      </c>
    </row>
    <row r="135" spans="2:3" x14ac:dyDescent="0.25">
      <c r="B135">
        <v>3029.7299800000001</v>
      </c>
      <c r="C135">
        <v>161.162003</v>
      </c>
    </row>
    <row r="136" spans="2:3" x14ac:dyDescent="0.25">
      <c r="B136">
        <v>3044.3100589999999</v>
      </c>
      <c r="C136">
        <v>167</v>
      </c>
    </row>
    <row r="137" spans="2:3" x14ac:dyDescent="0.25">
      <c r="B137">
        <v>3055.7299800000001</v>
      </c>
      <c r="C137">
        <v>179.61999499999999</v>
      </c>
    </row>
    <row r="138" spans="2:3" x14ac:dyDescent="0.25">
      <c r="B138">
        <v>3080.820068</v>
      </c>
      <c r="C138">
        <v>176.31199599999999</v>
      </c>
    </row>
    <row r="139" spans="2:3" x14ac:dyDescent="0.25">
      <c r="B139">
        <v>3122.8701169999999</v>
      </c>
      <c r="C139">
        <v>176.591995</v>
      </c>
    </row>
    <row r="140" spans="2:3" x14ac:dyDescent="0.25">
      <c r="B140">
        <v>3112.3500979999999</v>
      </c>
      <c r="C140">
        <v>172.87600699999999</v>
      </c>
    </row>
    <row r="141" spans="2:3" x14ac:dyDescent="0.25">
      <c r="B141">
        <v>3193.929932</v>
      </c>
      <c r="C141">
        <v>177.13200399999999</v>
      </c>
    </row>
    <row r="142" spans="2:3" x14ac:dyDescent="0.25">
      <c r="B142">
        <v>3232.389893</v>
      </c>
      <c r="C142">
        <v>189.983994</v>
      </c>
    </row>
    <row r="143" spans="2:3" x14ac:dyDescent="0.25">
      <c r="B143">
        <v>3207.179932</v>
      </c>
      <c r="C143">
        <v>188.13400300000001</v>
      </c>
    </row>
    <row r="144" spans="2:3" x14ac:dyDescent="0.25">
      <c r="B144">
        <v>3190.139893</v>
      </c>
      <c r="C144">
        <v>205.009995</v>
      </c>
    </row>
    <row r="145" spans="2:3" x14ac:dyDescent="0.25">
      <c r="B145">
        <v>3002.1000979999999</v>
      </c>
      <c r="C145">
        <v>194.567993</v>
      </c>
    </row>
    <row r="146" spans="2:3" x14ac:dyDescent="0.25">
      <c r="B146">
        <v>3041.3100589999999</v>
      </c>
      <c r="C146">
        <v>187.05600000000001</v>
      </c>
    </row>
    <row r="147" spans="2:3" x14ac:dyDescent="0.25">
      <c r="B147">
        <v>3066.5900879999999</v>
      </c>
      <c r="C147">
        <v>198.179993</v>
      </c>
    </row>
    <row r="148" spans="2:3" x14ac:dyDescent="0.25">
      <c r="B148">
        <v>3124.73999</v>
      </c>
      <c r="C148">
        <v>196.425995</v>
      </c>
    </row>
    <row r="149" spans="2:3" x14ac:dyDescent="0.25">
      <c r="B149">
        <v>3113.48999</v>
      </c>
      <c r="C149">
        <v>198.358002</v>
      </c>
    </row>
    <row r="150" spans="2:3" x14ac:dyDescent="0.25">
      <c r="B150">
        <v>3115.3400879999999</v>
      </c>
      <c r="C150">
        <v>200.79200700000001</v>
      </c>
    </row>
    <row r="151" spans="2:3" x14ac:dyDescent="0.25">
      <c r="B151">
        <v>3097.73999</v>
      </c>
      <c r="C151">
        <v>200.179993</v>
      </c>
    </row>
    <row r="152" spans="2:3" x14ac:dyDescent="0.25">
      <c r="B152">
        <v>3117.860107</v>
      </c>
      <c r="C152">
        <v>198.86399800000001</v>
      </c>
    </row>
    <row r="153" spans="2:3" x14ac:dyDescent="0.25">
      <c r="B153">
        <v>3131.290039</v>
      </c>
      <c r="C153">
        <v>200.35600299999999</v>
      </c>
    </row>
    <row r="154" spans="2:3" x14ac:dyDescent="0.25">
      <c r="B154">
        <v>3050.330078</v>
      </c>
      <c r="C154">
        <v>192.16999799999999</v>
      </c>
    </row>
    <row r="155" spans="2:3" x14ac:dyDescent="0.25">
      <c r="B155">
        <v>3083.76001</v>
      </c>
      <c r="C155">
        <v>197.195999</v>
      </c>
    </row>
    <row r="156" spans="2:3" x14ac:dyDescent="0.25">
      <c r="B156">
        <v>3009.0500489999999</v>
      </c>
      <c r="C156">
        <v>191.94799800000001</v>
      </c>
    </row>
    <row r="157" spans="2:3" x14ac:dyDescent="0.25">
      <c r="B157">
        <v>3053.23999</v>
      </c>
      <c r="C157">
        <v>201.86999499999999</v>
      </c>
    </row>
    <row r="158" spans="2:3" x14ac:dyDescent="0.25">
      <c r="B158">
        <v>3100.290039</v>
      </c>
      <c r="C158">
        <v>215.962006</v>
      </c>
    </row>
    <row r="159" spans="2:3" x14ac:dyDescent="0.25">
      <c r="B159">
        <v>3115.860107</v>
      </c>
      <c r="C159">
        <v>223.925995</v>
      </c>
    </row>
    <row r="160" spans="2:3" x14ac:dyDescent="0.25">
      <c r="B160">
        <v>3130.01001</v>
      </c>
      <c r="C160">
        <v>241.73199500000001</v>
      </c>
    </row>
    <row r="161" spans="2:3" x14ac:dyDescent="0.25">
      <c r="B161">
        <v>3179.719971</v>
      </c>
      <c r="C161">
        <v>274.31601000000001</v>
      </c>
    </row>
    <row r="162" spans="2:3" x14ac:dyDescent="0.25">
      <c r="B162">
        <v>3145.320068</v>
      </c>
      <c r="C162">
        <v>277.97198500000002</v>
      </c>
    </row>
    <row r="163" spans="2:3" x14ac:dyDescent="0.25">
      <c r="B163">
        <v>3169.9399410000001</v>
      </c>
      <c r="C163">
        <v>273.175995</v>
      </c>
    </row>
    <row r="164" spans="2:3" x14ac:dyDescent="0.25">
      <c r="B164">
        <v>3152.0500489999999</v>
      </c>
      <c r="C164">
        <v>278.85598800000002</v>
      </c>
    </row>
    <row r="165" spans="2:3" x14ac:dyDescent="0.25">
      <c r="B165">
        <v>3185.040039</v>
      </c>
      <c r="C165">
        <v>308.92999300000002</v>
      </c>
    </row>
    <row r="166" spans="2:3" x14ac:dyDescent="0.25">
      <c r="B166">
        <v>3155.219971</v>
      </c>
      <c r="C166">
        <v>299.41198700000001</v>
      </c>
    </row>
    <row r="167" spans="2:3" x14ac:dyDescent="0.25">
      <c r="B167">
        <v>3197.5200199999999</v>
      </c>
      <c r="C167">
        <v>303.35998499999999</v>
      </c>
    </row>
    <row r="168" spans="2:3" x14ac:dyDescent="0.25">
      <c r="B168">
        <v>3226.5600589999999</v>
      </c>
      <c r="C168">
        <v>309.20199600000001</v>
      </c>
    </row>
    <row r="169" spans="2:3" x14ac:dyDescent="0.25">
      <c r="B169">
        <v>3215.570068</v>
      </c>
      <c r="C169">
        <v>300.12799100000001</v>
      </c>
    </row>
    <row r="170" spans="2:3" x14ac:dyDescent="0.25">
      <c r="B170">
        <v>3224.7299800000001</v>
      </c>
      <c r="C170">
        <v>300.16799900000001</v>
      </c>
    </row>
    <row r="171" spans="2:3" x14ac:dyDescent="0.25">
      <c r="B171">
        <v>3251.8400879999999</v>
      </c>
      <c r="C171">
        <v>328.60000600000001</v>
      </c>
    </row>
    <row r="172" spans="2:3" x14ac:dyDescent="0.25">
      <c r="B172">
        <v>3257.3000489999999</v>
      </c>
      <c r="C172">
        <v>313.67199699999998</v>
      </c>
    </row>
    <row r="173" spans="2:3" x14ac:dyDescent="0.25">
      <c r="B173">
        <v>3276.0200199999999</v>
      </c>
      <c r="C173">
        <v>318.466003</v>
      </c>
    </row>
    <row r="174" spans="2:3" x14ac:dyDescent="0.25">
      <c r="B174">
        <v>3235.6599120000001</v>
      </c>
      <c r="C174">
        <v>302.614014</v>
      </c>
    </row>
    <row r="175" spans="2:3" x14ac:dyDescent="0.25">
      <c r="B175">
        <v>3215.6298830000001</v>
      </c>
      <c r="C175">
        <v>283.39999399999999</v>
      </c>
    </row>
    <row r="176" spans="2:3" x14ac:dyDescent="0.25">
      <c r="B176">
        <v>3239.4099120000001</v>
      </c>
      <c r="C176">
        <v>307.92001299999998</v>
      </c>
    </row>
    <row r="177" spans="2:3" x14ac:dyDescent="0.25">
      <c r="B177">
        <v>3218.4399410000001</v>
      </c>
      <c r="C177">
        <v>295.29800399999999</v>
      </c>
    </row>
    <row r="178" spans="2:3" x14ac:dyDescent="0.25">
      <c r="B178">
        <v>3258.4399410000001</v>
      </c>
      <c r="C178">
        <v>299.82199100000003</v>
      </c>
    </row>
    <row r="179" spans="2:3" x14ac:dyDescent="0.25">
      <c r="B179">
        <v>3246.219971</v>
      </c>
      <c r="C179">
        <v>297.49798600000003</v>
      </c>
    </row>
    <row r="180" spans="2:3" x14ac:dyDescent="0.25">
      <c r="B180">
        <v>3271.1201169999999</v>
      </c>
      <c r="C180">
        <v>286.15200800000002</v>
      </c>
    </row>
    <row r="181" spans="2:3" x14ac:dyDescent="0.25">
      <c r="B181">
        <v>3294.610107</v>
      </c>
      <c r="C181">
        <v>297</v>
      </c>
    </row>
    <row r="182" spans="2:3" x14ac:dyDescent="0.25">
      <c r="B182">
        <v>3306.51001</v>
      </c>
      <c r="C182">
        <v>297.39999399999999</v>
      </c>
    </row>
    <row r="183" spans="2:3" x14ac:dyDescent="0.25">
      <c r="B183">
        <v>3327.7700199999999</v>
      </c>
      <c r="C183">
        <v>297.00399800000002</v>
      </c>
    </row>
    <row r="184" spans="2:3" x14ac:dyDescent="0.25">
      <c r="B184">
        <v>3349.1599120000001</v>
      </c>
      <c r="C184">
        <v>297.91598499999998</v>
      </c>
    </row>
    <row r="185" spans="2:3" x14ac:dyDescent="0.25">
      <c r="B185">
        <v>3351.280029</v>
      </c>
      <c r="C185">
        <v>290.54199199999999</v>
      </c>
    </row>
    <row r="186" spans="2:3" x14ac:dyDescent="0.25">
      <c r="B186">
        <v>3360.469971</v>
      </c>
      <c r="C186">
        <v>283.71398900000003</v>
      </c>
    </row>
    <row r="187" spans="2:3" x14ac:dyDescent="0.25">
      <c r="B187">
        <v>3333.6899410000001</v>
      </c>
      <c r="C187">
        <v>274.87799100000001</v>
      </c>
    </row>
    <row r="188" spans="2:3" x14ac:dyDescent="0.25">
      <c r="B188">
        <v>3380.3500979999999</v>
      </c>
      <c r="C188">
        <v>310.95199600000001</v>
      </c>
    </row>
    <row r="189" spans="2:3" x14ac:dyDescent="0.25">
      <c r="B189">
        <v>3373.429932</v>
      </c>
      <c r="C189">
        <v>324.20001200000002</v>
      </c>
    </row>
    <row r="190" spans="2:3" x14ac:dyDescent="0.25">
      <c r="B190">
        <v>3372.8500979999999</v>
      </c>
      <c r="C190">
        <v>330.141998</v>
      </c>
    </row>
    <row r="191" spans="2:3" x14ac:dyDescent="0.25">
      <c r="B191">
        <v>3381.98999</v>
      </c>
      <c r="C191">
        <v>367.12799100000001</v>
      </c>
    </row>
    <row r="192" spans="2:3" x14ac:dyDescent="0.25">
      <c r="B192">
        <v>3389.780029</v>
      </c>
      <c r="C192">
        <v>377.41799900000001</v>
      </c>
    </row>
    <row r="193" spans="2:3" x14ac:dyDescent="0.25">
      <c r="B193">
        <v>3374.8500979999999</v>
      </c>
      <c r="C193">
        <v>375.70599399999998</v>
      </c>
    </row>
    <row r="194" spans="2:3" x14ac:dyDescent="0.25">
      <c r="B194">
        <v>3385.51001</v>
      </c>
      <c r="C194">
        <v>400.36599699999999</v>
      </c>
    </row>
    <row r="195" spans="2:3" x14ac:dyDescent="0.25">
      <c r="B195">
        <v>3397.1599120000001</v>
      </c>
      <c r="C195">
        <v>409.99600199999998</v>
      </c>
    </row>
    <row r="196" spans="2:3" x14ac:dyDescent="0.25">
      <c r="B196">
        <v>3431.280029</v>
      </c>
      <c r="C196">
        <v>402.83999599999999</v>
      </c>
    </row>
    <row r="197" spans="2:3" x14ac:dyDescent="0.25">
      <c r="B197">
        <v>3443.6201169999999</v>
      </c>
      <c r="C197">
        <v>404.66799900000001</v>
      </c>
    </row>
    <row r="198" spans="2:3" x14ac:dyDescent="0.25">
      <c r="B198">
        <v>3478.7299800000001</v>
      </c>
      <c r="C198">
        <v>430.63400300000001</v>
      </c>
    </row>
    <row r="199" spans="2:3" x14ac:dyDescent="0.25">
      <c r="B199">
        <v>3484.5500489999999</v>
      </c>
      <c r="C199">
        <v>447.75</v>
      </c>
    </row>
    <row r="200" spans="2:3" x14ac:dyDescent="0.25">
      <c r="B200">
        <v>3508.01001</v>
      </c>
      <c r="C200">
        <v>442.67999300000002</v>
      </c>
    </row>
    <row r="201" spans="2:3" x14ac:dyDescent="0.25">
      <c r="B201">
        <v>3500.3100589999999</v>
      </c>
      <c r="C201">
        <v>498.32000699999998</v>
      </c>
    </row>
    <row r="202" spans="2:3" x14ac:dyDescent="0.25">
      <c r="B202">
        <v>3526.6499020000001</v>
      </c>
      <c r="C202">
        <v>475.04998799999998</v>
      </c>
    </row>
    <row r="203" spans="2:3" x14ac:dyDescent="0.25">
      <c r="B203">
        <v>3580.8400879999999</v>
      </c>
      <c r="C203">
        <v>447.36999500000002</v>
      </c>
    </row>
    <row r="204" spans="2:3" x14ac:dyDescent="0.25">
      <c r="B204">
        <v>3455.0600589999999</v>
      </c>
      <c r="C204">
        <v>407</v>
      </c>
    </row>
    <row r="205" spans="2:3" x14ac:dyDescent="0.25">
      <c r="B205">
        <v>3426.959961</v>
      </c>
      <c r="C205">
        <v>418.32000699999998</v>
      </c>
    </row>
    <row r="206" spans="2:3" x14ac:dyDescent="0.25">
      <c r="B206">
        <v>3331.8400879999999</v>
      </c>
      <c r="C206">
        <v>330.209991</v>
      </c>
    </row>
    <row r="207" spans="2:3" x14ac:dyDescent="0.25">
      <c r="B207">
        <v>3398.959961</v>
      </c>
      <c r="C207">
        <v>366.27999899999998</v>
      </c>
    </row>
    <row r="208" spans="2:3" x14ac:dyDescent="0.25">
      <c r="B208">
        <v>3339.1899410000001</v>
      </c>
      <c r="C208">
        <v>371.33999599999999</v>
      </c>
    </row>
    <row r="209" spans="2:3" x14ac:dyDescent="0.25">
      <c r="B209">
        <v>3340.969971</v>
      </c>
      <c r="C209">
        <v>372.72000100000002</v>
      </c>
    </row>
    <row r="210" spans="2:3" x14ac:dyDescent="0.25">
      <c r="B210">
        <v>3383.540039</v>
      </c>
      <c r="C210">
        <v>419.61999500000002</v>
      </c>
    </row>
    <row r="211" spans="2:3" x14ac:dyDescent="0.25">
      <c r="B211">
        <v>3401.1999510000001</v>
      </c>
      <c r="C211">
        <v>449.76001000000002</v>
      </c>
    </row>
    <row r="212" spans="2:3" x14ac:dyDescent="0.25">
      <c r="B212">
        <v>3385.48999</v>
      </c>
      <c r="C212">
        <v>441.76001000000002</v>
      </c>
    </row>
    <row r="213" spans="2:3" x14ac:dyDescent="0.25">
      <c r="B213">
        <v>3357.01001</v>
      </c>
      <c r="C213">
        <v>423.42999300000002</v>
      </c>
    </row>
    <row r="214" spans="2:3" x14ac:dyDescent="0.25">
      <c r="B214">
        <v>3319.469971</v>
      </c>
      <c r="C214">
        <v>442.14999399999999</v>
      </c>
    </row>
    <row r="215" spans="2:3" x14ac:dyDescent="0.25">
      <c r="B215">
        <v>3281.0600589999999</v>
      </c>
      <c r="C215">
        <v>449.39001500000001</v>
      </c>
    </row>
    <row r="216" spans="2:3" x14ac:dyDescent="0.25">
      <c r="B216">
        <v>3315.570068</v>
      </c>
      <c r="C216">
        <v>424.23001099999999</v>
      </c>
    </row>
    <row r="217" spans="2:3" x14ac:dyDescent="0.25">
      <c r="B217">
        <v>3236.919922</v>
      </c>
      <c r="C217">
        <v>380.35998499999999</v>
      </c>
    </row>
    <row r="218" spans="2:3" x14ac:dyDescent="0.25">
      <c r="B218">
        <v>3246.5900879999999</v>
      </c>
      <c r="C218">
        <v>387.790009</v>
      </c>
    </row>
    <row r="219" spans="2:3" x14ac:dyDescent="0.25">
      <c r="B219">
        <v>3298.459961</v>
      </c>
      <c r="C219">
        <v>407.33999599999999</v>
      </c>
    </row>
    <row r="220" spans="2:3" x14ac:dyDescent="0.25">
      <c r="B220">
        <v>3351.6000979999999</v>
      </c>
      <c r="C220">
        <v>421.20001200000002</v>
      </c>
    </row>
    <row r="221" spans="2:3" x14ac:dyDescent="0.25">
      <c r="B221">
        <v>3335.469971</v>
      </c>
      <c r="C221">
        <v>419.07000699999998</v>
      </c>
    </row>
    <row r="222" spans="2:3" x14ac:dyDescent="0.25">
      <c r="B222">
        <v>3363</v>
      </c>
      <c r="C222">
        <v>429.01001000000002</v>
      </c>
    </row>
    <row r="223" spans="2:3" x14ac:dyDescent="0.25">
      <c r="B223">
        <v>3380.8000489999999</v>
      </c>
      <c r="C223">
        <v>448.16000400000001</v>
      </c>
    </row>
    <row r="224" spans="2:3" x14ac:dyDescent="0.25">
      <c r="B224">
        <v>3348.419922</v>
      </c>
      <c r="C224">
        <v>415.08999599999999</v>
      </c>
    </row>
    <row r="225" spans="2:3" x14ac:dyDescent="0.25">
      <c r="B225">
        <v>3408.6000979999999</v>
      </c>
      <c r="C225">
        <v>425.67999300000002</v>
      </c>
    </row>
    <row r="226" spans="2:3" x14ac:dyDescent="0.25">
      <c r="B226">
        <v>3360.969971</v>
      </c>
      <c r="C226">
        <v>413.98001099999999</v>
      </c>
    </row>
    <row r="227" spans="2:3" x14ac:dyDescent="0.25">
      <c r="B227">
        <v>3419.4399410000001</v>
      </c>
      <c r="C227">
        <v>425.29998799999998</v>
      </c>
    </row>
    <row r="228" spans="2:3" x14ac:dyDescent="0.25">
      <c r="B228">
        <v>3446.830078</v>
      </c>
      <c r="C228">
        <v>425.92001299999998</v>
      </c>
    </row>
    <row r="229" spans="2:3" x14ac:dyDescent="0.25">
      <c r="B229">
        <v>3477.139893</v>
      </c>
      <c r="C229">
        <v>434</v>
      </c>
    </row>
    <row r="230" spans="2:3" x14ac:dyDescent="0.25">
      <c r="B230">
        <v>3534.219971</v>
      </c>
      <c r="C230">
        <v>442.29998799999998</v>
      </c>
    </row>
    <row r="231" spans="2:3" x14ac:dyDescent="0.25">
      <c r="B231">
        <v>3511.929932</v>
      </c>
      <c r="C231">
        <v>446.64999399999999</v>
      </c>
    </row>
    <row r="232" spans="2:3" x14ac:dyDescent="0.25">
      <c r="B232">
        <v>3488.669922</v>
      </c>
      <c r="C232">
        <v>461.29998799999998</v>
      </c>
    </row>
    <row r="233" spans="2:3" x14ac:dyDescent="0.25">
      <c r="B233">
        <v>3483.3400879999999</v>
      </c>
      <c r="C233">
        <v>448.88000499999998</v>
      </c>
    </row>
    <row r="234" spans="2:3" x14ac:dyDescent="0.25">
      <c r="B234">
        <v>3483.8100589999999</v>
      </c>
      <c r="C234">
        <v>439.67001299999998</v>
      </c>
    </row>
    <row r="235" spans="2:3" x14ac:dyDescent="0.25">
      <c r="B235">
        <v>3426.919922</v>
      </c>
      <c r="C235">
        <v>430.82998700000002</v>
      </c>
    </row>
    <row r="236" spans="2:3" x14ac:dyDescent="0.25">
      <c r="B236">
        <v>3443.1201169999999</v>
      </c>
      <c r="C236">
        <v>421.94000199999999</v>
      </c>
    </row>
    <row r="237" spans="2:3" x14ac:dyDescent="0.25">
      <c r="B237">
        <v>3435.5600589999999</v>
      </c>
      <c r="C237">
        <v>422.64001500000001</v>
      </c>
    </row>
    <row r="238" spans="2:3" x14ac:dyDescent="0.25">
      <c r="B238">
        <v>3453.48999</v>
      </c>
      <c r="C238">
        <v>425.790009</v>
      </c>
    </row>
    <row r="239" spans="2:3" x14ac:dyDescent="0.25">
      <c r="B239">
        <v>3465.389893</v>
      </c>
      <c r="C239">
        <v>420.63000499999998</v>
      </c>
    </row>
    <row r="240" spans="2:3" x14ac:dyDescent="0.25">
      <c r="B240">
        <v>3400.969971</v>
      </c>
      <c r="C240">
        <v>420.27999899999998</v>
      </c>
    </row>
    <row r="241" spans="2:3" x14ac:dyDescent="0.25">
      <c r="B241">
        <v>3390.679932</v>
      </c>
      <c r="C241">
        <v>424.67999300000002</v>
      </c>
    </row>
    <row r="242" spans="2:3" x14ac:dyDescent="0.25">
      <c r="B242">
        <v>3271.030029</v>
      </c>
      <c r="C242">
        <v>406.01998900000001</v>
      </c>
    </row>
    <row r="243" spans="2:3" x14ac:dyDescent="0.25">
      <c r="B243">
        <v>3310.110107</v>
      </c>
      <c r="C243">
        <v>410.82998700000002</v>
      </c>
    </row>
    <row r="244" spans="2:3" x14ac:dyDescent="0.25">
      <c r="B244">
        <v>3269.959961</v>
      </c>
      <c r="C244">
        <v>388.040009</v>
      </c>
    </row>
    <row r="245" spans="2:3" x14ac:dyDescent="0.25">
      <c r="B245">
        <v>3310.23999</v>
      </c>
      <c r="C245">
        <v>400.51001000000002</v>
      </c>
    </row>
    <row r="246" spans="2:3" x14ac:dyDescent="0.25">
      <c r="B246">
        <v>3369.1599120000001</v>
      </c>
      <c r="C246">
        <v>423.89999399999999</v>
      </c>
    </row>
    <row r="247" spans="2:3" x14ac:dyDescent="0.25">
      <c r="B247">
        <v>3443.4399410000001</v>
      </c>
      <c r="C247">
        <v>420.98001099999999</v>
      </c>
    </row>
    <row r="248" spans="2:3" x14ac:dyDescent="0.25">
      <c r="B248">
        <v>3510.4499510000001</v>
      </c>
      <c r="C248">
        <v>438.08999599999999</v>
      </c>
    </row>
    <row r="249" spans="2:3" x14ac:dyDescent="0.25">
      <c r="B249">
        <v>3509.4399410000001</v>
      </c>
      <c r="C249">
        <v>429.95001200000002</v>
      </c>
    </row>
    <row r="250" spans="2:3" x14ac:dyDescent="0.25">
      <c r="B250">
        <v>3550.5</v>
      </c>
      <c r="C250">
        <v>421.26001000000002</v>
      </c>
    </row>
    <row r="251" spans="2:3" x14ac:dyDescent="0.25">
      <c r="B251">
        <v>3545.530029</v>
      </c>
      <c r="C251">
        <v>410.35998499999999</v>
      </c>
    </row>
    <row r="252" spans="2:3" x14ac:dyDescent="0.25">
      <c r="B252">
        <v>3572.6599120000001</v>
      </c>
      <c r="C252">
        <v>417.13000499999998</v>
      </c>
    </row>
    <row r="253" spans="2:3" x14ac:dyDescent="0.25">
      <c r="B253">
        <v>3537.01001</v>
      </c>
      <c r="C253">
        <v>411.76001000000002</v>
      </c>
    </row>
    <row r="254" spans="2:3" x14ac:dyDescent="0.25">
      <c r="B254">
        <v>3585.1499020000001</v>
      </c>
      <c r="C254">
        <v>408.5</v>
      </c>
    </row>
    <row r="255" spans="2:3" x14ac:dyDescent="0.25">
      <c r="B255">
        <v>3626.9099120000001</v>
      </c>
      <c r="C255">
        <v>408.08999599999999</v>
      </c>
    </row>
    <row r="256" spans="2:3" x14ac:dyDescent="0.25">
      <c r="B256">
        <v>3609.530029</v>
      </c>
      <c r="C256">
        <v>441.60998499999999</v>
      </c>
    </row>
    <row r="257" spans="2:3" x14ac:dyDescent="0.25">
      <c r="B257">
        <v>3567.790039</v>
      </c>
      <c r="C257">
        <v>486.64001500000001</v>
      </c>
    </row>
    <row r="258" spans="2:3" x14ac:dyDescent="0.25">
      <c r="B258">
        <v>3581.8701169999999</v>
      </c>
      <c r="C258">
        <v>499.26998900000001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CBD6C-0253-4851-BA96-2B8A22F72E69}">
  <dimension ref="A1:R18"/>
  <sheetViews>
    <sheetView zoomScale="85" zoomScaleNormal="85" workbookViewId="0">
      <selection activeCell="F2" sqref="F2"/>
    </sheetView>
  </sheetViews>
  <sheetFormatPr defaultRowHeight="15" x14ac:dyDescent="0.25"/>
  <cols>
    <col min="1" max="2" width="20.140625" customWidth="1"/>
    <col min="3" max="3" width="12" bestFit="1" customWidth="1"/>
    <col min="4" max="4" width="14.7109375" bestFit="1" customWidth="1"/>
    <col min="5" max="5" width="13.85546875" bestFit="1" customWidth="1"/>
    <col min="6" max="6" width="13.140625" bestFit="1" customWidth="1"/>
    <col min="7" max="8" width="11" bestFit="1" customWidth="1"/>
    <col min="9" max="9" width="11.42578125" bestFit="1" customWidth="1"/>
    <col min="14" max="14" width="10.7109375" bestFit="1" customWidth="1"/>
  </cols>
  <sheetData>
    <row r="1" spans="1:18" x14ac:dyDescent="0.25">
      <c r="C1" s="1">
        <f>EDATE(F1,-12)</f>
        <v>42916</v>
      </c>
      <c r="D1" s="1">
        <f>EDATE(F1,-3)</f>
        <v>43189</v>
      </c>
      <c r="E1" s="1">
        <f>EDATE(F1,-1)</f>
        <v>43250</v>
      </c>
      <c r="F1" s="1">
        <v>43281</v>
      </c>
      <c r="G1" s="182" t="s">
        <v>80</v>
      </c>
      <c r="H1" s="182"/>
      <c r="I1" s="182"/>
      <c r="J1" s="182" t="s">
        <v>81</v>
      </c>
      <c r="K1" s="182"/>
      <c r="L1" s="182"/>
      <c r="P1" s="1">
        <v>43160</v>
      </c>
      <c r="Q1" s="1">
        <v>43160</v>
      </c>
      <c r="R1" s="1">
        <v>43100</v>
      </c>
    </row>
    <row r="2" spans="1:18" x14ac:dyDescent="0.25">
      <c r="A2" s="195" t="s">
        <v>70</v>
      </c>
      <c r="B2" s="195"/>
      <c r="C2" t="s">
        <v>77</v>
      </c>
      <c r="D2" t="s">
        <v>79</v>
      </c>
      <c r="E2" t="s">
        <v>78</v>
      </c>
      <c r="F2" t="s">
        <v>76</v>
      </c>
      <c r="G2" s="20" t="s">
        <v>74</v>
      </c>
      <c r="H2" s="20" t="s">
        <v>73</v>
      </c>
      <c r="I2" s="20" t="s">
        <v>75</v>
      </c>
      <c r="J2" s="20" t="s">
        <v>74</v>
      </c>
      <c r="K2" s="20" t="s">
        <v>73</v>
      </c>
      <c r="L2" s="20" t="s">
        <v>75</v>
      </c>
      <c r="M2" t="s">
        <v>82</v>
      </c>
      <c r="N2" t="s">
        <v>83</v>
      </c>
      <c r="O2">
        <v>1</v>
      </c>
      <c r="P2" t="e">
        <f>100+(((N9*0.5)+(N18*0.5))*100)</f>
        <v>#N/A</v>
      </c>
      <c r="Q2">
        <v>108.51151013605126</v>
      </c>
      <c r="R2">
        <v>86.387803678871478</v>
      </c>
    </row>
    <row r="3" spans="1:18" x14ac:dyDescent="0.25">
      <c r="A3" s="193" t="s">
        <v>0</v>
      </c>
      <c r="B3" s="194"/>
      <c r="C3" t="e">
        <f>HLOOKUP(C$1,'Real Estate'!$C$66:$W$72,$O$3,0)</f>
        <v>#N/A</v>
      </c>
      <c r="D3" t="e">
        <f>HLOOKUP(D$1,'Real Estate'!$C$66:$W$72,$O$3,0)</f>
        <v>#N/A</v>
      </c>
      <c r="E3" t="e">
        <f>HLOOKUP(E$1,'Real Estate'!$C$66:$W$72,$O$3,0)</f>
        <v>#N/A</v>
      </c>
      <c r="F3">
        <f>HLOOKUP(F$1,'Real Estate'!$C$66:$W$72,$O$3,0)</f>
        <v>2425</v>
      </c>
      <c r="G3" s="21" t="e">
        <f t="shared" ref="G3:G8" si="0">F3-E3</f>
        <v>#N/A</v>
      </c>
      <c r="H3" s="20" t="e">
        <f t="shared" ref="H3:H8" si="1">F3-D3</f>
        <v>#N/A</v>
      </c>
      <c r="I3" s="20" t="e">
        <f t="shared" ref="I3:I8" si="2">F3-C3</f>
        <v>#N/A</v>
      </c>
      <c r="J3" s="22" t="e">
        <f t="shared" ref="J3:J8" si="3">G3/E3</f>
        <v>#N/A</v>
      </c>
      <c r="K3" s="22" t="e">
        <f t="shared" ref="K3:K8" si="4">H3/D3</f>
        <v>#N/A</v>
      </c>
      <c r="L3" s="22" t="e">
        <f t="shared" ref="L3:L8" si="5">I3/C3</f>
        <v>#N/A</v>
      </c>
      <c r="M3" s="7">
        <f t="shared" ref="M3:M8" si="6">F3/(SUM($F$3:$F$8))</f>
        <v>0.52763272410791995</v>
      </c>
      <c r="N3" s="3" t="e">
        <f t="shared" ref="N3:N8" si="7">M3*J3</f>
        <v>#N/A</v>
      </c>
      <c r="O3">
        <v>2</v>
      </c>
    </row>
    <row r="4" spans="1:18" x14ac:dyDescent="0.25">
      <c r="A4" s="193" t="s">
        <v>14</v>
      </c>
      <c r="B4" s="194"/>
      <c r="C4" t="e">
        <f>HLOOKUP(C1,'Real Estate'!$C$66:$W$72,$O$4,0)</f>
        <v>#N/A</v>
      </c>
      <c r="D4" t="e">
        <f>HLOOKUP(D1,'Real Estate'!$C$66:$W$72,$O$4,0)</f>
        <v>#N/A</v>
      </c>
      <c r="E4" t="e">
        <f>HLOOKUP(E1,'Real Estate'!$C$66:$W$72,$O$4,0)</f>
        <v>#N/A</v>
      </c>
      <c r="F4">
        <f>HLOOKUP(F1,'Real Estate'!$C$66:$W$72,$O$4,0)</f>
        <v>438</v>
      </c>
      <c r="G4" s="21" t="e">
        <f t="shared" si="0"/>
        <v>#N/A</v>
      </c>
      <c r="H4" s="20" t="e">
        <f t="shared" si="1"/>
        <v>#N/A</v>
      </c>
      <c r="I4" s="20" t="e">
        <f t="shared" si="2"/>
        <v>#N/A</v>
      </c>
      <c r="J4" s="22" t="e">
        <f t="shared" si="3"/>
        <v>#N/A</v>
      </c>
      <c r="K4" s="22" t="e">
        <f t="shared" si="4"/>
        <v>#N/A</v>
      </c>
      <c r="L4" s="22" t="e">
        <f t="shared" si="5"/>
        <v>#N/A</v>
      </c>
      <c r="M4" s="7">
        <f t="shared" si="6"/>
        <v>9.5300261096605748E-2</v>
      </c>
      <c r="N4" s="3" t="e">
        <f t="shared" si="7"/>
        <v>#N/A</v>
      </c>
      <c r="O4">
        <v>3</v>
      </c>
    </row>
    <row r="5" spans="1:18" x14ac:dyDescent="0.25">
      <c r="A5" s="193" t="s">
        <v>69</v>
      </c>
      <c r="B5" s="194"/>
      <c r="C5" t="e">
        <f>HLOOKUP(C1,'Real Estate'!$C$66:$W$72,$O$5,0)</f>
        <v>#N/A</v>
      </c>
      <c r="D5" t="e">
        <f>HLOOKUP(D1,'Real Estate'!$C$66:$W$72,$O$5,0)</f>
        <v>#N/A</v>
      </c>
      <c r="E5" t="e">
        <f>HLOOKUP(E1,'Real Estate'!$C$66:$W$72,$O$5,0)</f>
        <v>#N/A</v>
      </c>
      <c r="F5">
        <f>HLOOKUP(F1,'Real Estate'!$C$66:$W$72,$O$5,0)</f>
        <v>484</v>
      </c>
      <c r="G5" s="21" t="e">
        <f t="shared" si="0"/>
        <v>#N/A</v>
      </c>
      <c r="H5" s="20" t="e">
        <f t="shared" si="1"/>
        <v>#N/A</v>
      </c>
      <c r="I5" s="20" t="e">
        <f t="shared" si="2"/>
        <v>#N/A</v>
      </c>
      <c r="J5" s="22" t="e">
        <f t="shared" si="3"/>
        <v>#N/A</v>
      </c>
      <c r="K5" s="22" t="e">
        <f t="shared" si="4"/>
        <v>#N/A</v>
      </c>
      <c r="L5" s="22" t="e">
        <f t="shared" si="5"/>
        <v>#N/A</v>
      </c>
      <c r="M5" s="7">
        <f t="shared" si="6"/>
        <v>0.10530896431679722</v>
      </c>
      <c r="N5" s="3" t="e">
        <f t="shared" si="7"/>
        <v>#N/A</v>
      </c>
      <c r="O5">
        <v>4</v>
      </c>
    </row>
    <row r="6" spans="1:18" x14ac:dyDescent="0.25">
      <c r="A6" s="193" t="s">
        <v>24</v>
      </c>
      <c r="B6" s="194"/>
      <c r="C6" t="e">
        <f>HLOOKUP(C1,'Real Estate'!$C$66:$W$72,$O$6,0)</f>
        <v>#N/A</v>
      </c>
      <c r="D6" t="e">
        <f>HLOOKUP(D1,'Real Estate'!$C$66:$W$72,$O$6,0)</f>
        <v>#N/A</v>
      </c>
      <c r="E6" t="e">
        <f>HLOOKUP(E1,'Real Estate'!$C$66:$W$72,$O$6,0)</f>
        <v>#N/A</v>
      </c>
      <c r="F6">
        <f>HLOOKUP(F1,'Real Estate'!$C$66:$W$72,$O$6,0)</f>
        <v>144</v>
      </c>
      <c r="G6" s="21" t="e">
        <f t="shared" si="0"/>
        <v>#N/A</v>
      </c>
      <c r="H6" s="20" t="e">
        <f t="shared" si="1"/>
        <v>#N/A</v>
      </c>
      <c r="I6" s="20" t="e">
        <f t="shared" si="2"/>
        <v>#N/A</v>
      </c>
      <c r="J6" s="22" t="e">
        <f t="shared" si="3"/>
        <v>#N/A</v>
      </c>
      <c r="K6" s="22" t="e">
        <f t="shared" si="4"/>
        <v>#N/A</v>
      </c>
      <c r="L6" s="22" t="e">
        <f t="shared" si="5"/>
        <v>#N/A</v>
      </c>
      <c r="M6" s="7">
        <f t="shared" si="6"/>
        <v>3.1331592689295036E-2</v>
      </c>
      <c r="N6" s="3" t="e">
        <f t="shared" si="7"/>
        <v>#N/A</v>
      </c>
      <c r="O6">
        <v>5</v>
      </c>
    </row>
    <row r="7" spans="1:18" x14ac:dyDescent="0.25">
      <c r="A7" s="193" t="s">
        <v>34</v>
      </c>
      <c r="B7" s="194"/>
      <c r="C7" t="e">
        <f>HLOOKUP(C1,'Real Estate'!$C$66:$W$72,$O$7,0)</f>
        <v>#N/A</v>
      </c>
      <c r="D7" t="e">
        <f>HLOOKUP(D1,'Real Estate'!$C$66:$W$72,$O$7,0)</f>
        <v>#N/A</v>
      </c>
      <c r="E7" t="e">
        <f>HLOOKUP(E1,'Real Estate'!$C$66:$W$72,$O$7,0)</f>
        <v>#N/A</v>
      </c>
      <c r="F7">
        <f>HLOOKUP(F1,'Real Estate'!$C$66:$W$72,$O$7,0)</f>
        <v>921</v>
      </c>
      <c r="G7" s="21" t="e">
        <f t="shared" si="0"/>
        <v>#N/A</v>
      </c>
      <c r="H7" s="20" t="e">
        <f t="shared" si="1"/>
        <v>#N/A</v>
      </c>
      <c r="I7" s="20" t="e">
        <f t="shared" si="2"/>
        <v>#N/A</v>
      </c>
      <c r="J7" s="22" t="e">
        <f t="shared" si="3"/>
        <v>#N/A</v>
      </c>
      <c r="K7" s="22" t="e">
        <f t="shared" si="4"/>
        <v>#N/A</v>
      </c>
      <c r="L7" s="22" t="e">
        <f t="shared" si="5"/>
        <v>#N/A</v>
      </c>
      <c r="M7" s="7">
        <f t="shared" si="6"/>
        <v>0.20039164490861619</v>
      </c>
      <c r="N7" s="3" t="e">
        <f t="shared" si="7"/>
        <v>#N/A</v>
      </c>
      <c r="O7">
        <v>6</v>
      </c>
    </row>
    <row r="8" spans="1:18" x14ac:dyDescent="0.25">
      <c r="A8" s="193" t="s">
        <v>66</v>
      </c>
      <c r="B8" s="194"/>
      <c r="C8" t="e">
        <f>HLOOKUP(C1,'Real Estate'!$C$66:$W$72,$O$8,0)</f>
        <v>#N/A</v>
      </c>
      <c r="D8" t="e">
        <f>HLOOKUP(D1,'Real Estate'!$C$66:$W$72,$O$8,0)</f>
        <v>#N/A</v>
      </c>
      <c r="E8" t="e">
        <f>HLOOKUP(E1,'Real Estate'!$C$66:$W$72,$O$8,0)</f>
        <v>#N/A</v>
      </c>
      <c r="F8">
        <f>HLOOKUP(F1,'Real Estate'!$C$66:$W$72,$O$8,0)</f>
        <v>184</v>
      </c>
      <c r="G8" s="21" t="e">
        <f t="shared" si="0"/>
        <v>#N/A</v>
      </c>
      <c r="H8" s="20" t="e">
        <f t="shared" si="1"/>
        <v>#N/A</v>
      </c>
      <c r="I8" s="20" t="e">
        <f t="shared" si="2"/>
        <v>#N/A</v>
      </c>
      <c r="J8" s="22" t="e">
        <f t="shared" si="3"/>
        <v>#N/A</v>
      </c>
      <c r="K8" s="22" t="e">
        <f t="shared" si="4"/>
        <v>#N/A</v>
      </c>
      <c r="L8" s="22" t="e">
        <f t="shared" si="5"/>
        <v>#N/A</v>
      </c>
      <c r="M8" s="7">
        <f t="shared" si="6"/>
        <v>4.0034812880765887E-2</v>
      </c>
      <c r="N8" s="3" t="e">
        <f t="shared" si="7"/>
        <v>#N/A</v>
      </c>
      <c r="O8">
        <v>7</v>
      </c>
    </row>
    <row r="9" spans="1:18" x14ac:dyDescent="0.25">
      <c r="A9" s="16"/>
      <c r="B9" s="16"/>
      <c r="G9" s="21"/>
      <c r="H9" s="20"/>
      <c r="I9" s="20"/>
      <c r="J9" s="22"/>
      <c r="K9" s="22"/>
      <c r="L9" s="22"/>
      <c r="N9" s="3" t="e">
        <f>SUM(N3:N8)</f>
        <v>#N/A</v>
      </c>
    </row>
    <row r="10" spans="1:18" x14ac:dyDescent="0.25">
      <c r="G10" s="182" t="s">
        <v>80</v>
      </c>
      <c r="H10" s="182"/>
      <c r="I10" s="182"/>
      <c r="J10" s="182" t="s">
        <v>81</v>
      </c>
      <c r="K10" s="182"/>
      <c r="L10" s="182"/>
    </row>
    <row r="11" spans="1:18" x14ac:dyDescent="0.25">
      <c r="A11" s="195" t="s">
        <v>71</v>
      </c>
      <c r="B11" s="195"/>
      <c r="G11" s="20" t="s">
        <v>74</v>
      </c>
      <c r="H11" s="20" t="s">
        <v>73</v>
      </c>
      <c r="I11" s="20" t="s">
        <v>75</v>
      </c>
      <c r="J11" s="20" t="s">
        <v>74</v>
      </c>
      <c r="K11" s="20" t="s">
        <v>73</v>
      </c>
      <c r="L11" s="20" t="s">
        <v>75</v>
      </c>
      <c r="M11" t="s">
        <v>82</v>
      </c>
      <c r="N11" t="s">
        <v>83</v>
      </c>
    </row>
    <row r="12" spans="1:18" x14ac:dyDescent="0.25">
      <c r="A12" s="193" t="s">
        <v>0</v>
      </c>
      <c r="B12" s="194"/>
      <c r="C12" t="e">
        <f>HLOOKUP(C$1,'Real Estate'!$C$74:$W$80,$O3,0)</f>
        <v>#N/A</v>
      </c>
      <c r="D12" t="e">
        <f>HLOOKUP(D$1,'Real Estate'!$C$74:$W$80,$O3,0)</f>
        <v>#N/A</v>
      </c>
      <c r="E12" t="e">
        <f>HLOOKUP(E$1,'Real Estate'!$C$74:$W$80,$O3,0)</f>
        <v>#N/A</v>
      </c>
      <c r="F12">
        <f>HLOOKUP(F$1,'Real Estate'!$C$74:$W$80,$O3,0)</f>
        <v>1229000</v>
      </c>
      <c r="G12" s="23" t="e">
        <f t="shared" ref="G12:G17" si="8">F12-E12</f>
        <v>#N/A</v>
      </c>
      <c r="H12" s="23" t="e">
        <f t="shared" ref="H12:H17" si="9">F12-D12</f>
        <v>#N/A</v>
      </c>
      <c r="I12" s="23" t="e">
        <f t="shared" ref="I12:I17" si="10">F12-C12</f>
        <v>#N/A</v>
      </c>
      <c r="J12" s="22" t="e">
        <f t="shared" ref="J12:J17" si="11">G12/E12</f>
        <v>#N/A</v>
      </c>
      <c r="K12" s="22" t="e">
        <f t="shared" ref="K12:K17" si="12">H12/D12</f>
        <v>#N/A</v>
      </c>
      <c r="L12" s="22" t="e">
        <f t="shared" ref="L12:L17" si="13">I12/C12</f>
        <v>#N/A</v>
      </c>
      <c r="M12" s="7">
        <f t="shared" ref="M12:M17" si="14">F12/(SUM($F$12:$F$17))</f>
        <v>0.28824499839811768</v>
      </c>
      <c r="N12" s="3" t="e">
        <f t="shared" ref="N12:N17" si="15">M12*J12</f>
        <v>#N/A</v>
      </c>
    </row>
    <row r="13" spans="1:18" x14ac:dyDescent="0.25">
      <c r="A13" s="193" t="s">
        <v>14</v>
      </c>
      <c r="B13" s="194"/>
      <c r="C13" t="e">
        <f>HLOOKUP(C$1,'Real Estate'!$C$74:$W$80,$O4,0)</f>
        <v>#N/A</v>
      </c>
      <c r="D13" t="e">
        <f>HLOOKUP(D$1,'Real Estate'!$C$74:$W$80,$O4,0)</f>
        <v>#N/A</v>
      </c>
      <c r="E13" t="e">
        <f>HLOOKUP(E$1,'Real Estate'!$C$74:$W$80,$O4,0)</f>
        <v>#N/A</v>
      </c>
      <c r="F13">
        <f>HLOOKUP(F$1,'Real Estate'!$C$74:$W$80,$O4,0)</f>
        <v>510300</v>
      </c>
      <c r="G13" s="23" t="e">
        <f t="shared" si="8"/>
        <v>#N/A</v>
      </c>
      <c r="H13" s="23" t="e">
        <f t="shared" si="9"/>
        <v>#N/A</v>
      </c>
      <c r="I13" s="23" t="e">
        <f t="shared" si="10"/>
        <v>#N/A</v>
      </c>
      <c r="J13" s="22" t="e">
        <f t="shared" si="11"/>
        <v>#N/A</v>
      </c>
      <c r="K13" s="22" t="e">
        <f t="shared" si="12"/>
        <v>#N/A</v>
      </c>
      <c r="L13" s="22" t="e">
        <f t="shared" si="13"/>
        <v>#N/A</v>
      </c>
      <c r="M13" s="7">
        <f t="shared" si="14"/>
        <v>0.11968382643007279</v>
      </c>
      <c r="N13" s="3" t="e">
        <f t="shared" si="15"/>
        <v>#N/A</v>
      </c>
    </row>
    <row r="14" spans="1:18" x14ac:dyDescent="0.25">
      <c r="A14" s="193" t="s">
        <v>69</v>
      </c>
      <c r="B14" s="194"/>
      <c r="C14" t="e">
        <f>HLOOKUP(C$1,'Real Estate'!$C$74:$W$80,$O5,0)</f>
        <v>#N/A</v>
      </c>
      <c r="D14" t="e">
        <f>HLOOKUP(D$1,'Real Estate'!$C$74:$W$80,$O5,0)</f>
        <v>#N/A</v>
      </c>
      <c r="E14" t="e">
        <f>HLOOKUP(E$1,'Real Estate'!$C$74:$W$80,$O5,0)</f>
        <v>#N/A</v>
      </c>
      <c r="F14">
        <f>HLOOKUP(F$1,'Real Estate'!$C$74:$W$80,$O5,0)</f>
        <v>604168</v>
      </c>
      <c r="G14" s="23" t="e">
        <f t="shared" si="8"/>
        <v>#N/A</v>
      </c>
      <c r="H14" s="23" t="e">
        <f t="shared" si="9"/>
        <v>#N/A</v>
      </c>
      <c r="I14" s="23" t="e">
        <f t="shared" si="10"/>
        <v>#N/A</v>
      </c>
      <c r="J14" s="22" t="e">
        <f t="shared" si="11"/>
        <v>#N/A</v>
      </c>
      <c r="K14" s="22" t="e">
        <f t="shared" si="12"/>
        <v>#N/A</v>
      </c>
      <c r="L14" s="22" t="e">
        <f t="shared" si="13"/>
        <v>#N/A</v>
      </c>
      <c r="M14" s="7">
        <f t="shared" si="14"/>
        <v>0.14169927110837591</v>
      </c>
      <c r="N14" s="3" t="e">
        <f t="shared" si="15"/>
        <v>#N/A</v>
      </c>
    </row>
    <row r="15" spans="1:18" x14ac:dyDescent="0.25">
      <c r="A15" s="193" t="s">
        <v>24</v>
      </c>
      <c r="B15" s="194"/>
      <c r="C15" t="e">
        <f>HLOOKUP(C$1,'Real Estate'!$C$74:$W$80,$O6,0)</f>
        <v>#N/A</v>
      </c>
      <c r="D15" t="e">
        <f>HLOOKUP(D$1,'Real Estate'!$C$74:$W$80,$O6,0)</f>
        <v>#N/A</v>
      </c>
      <c r="E15" t="e">
        <f>HLOOKUP(E$1,'Real Estate'!$C$74:$W$80,$O6,0)</f>
        <v>#N/A</v>
      </c>
      <c r="F15">
        <f>HLOOKUP(F$1,'Real Estate'!$C$74:$W$80,$O6,0)</f>
        <v>393809</v>
      </c>
      <c r="G15" s="23" t="e">
        <f t="shared" si="8"/>
        <v>#N/A</v>
      </c>
      <c r="H15" s="23" t="e">
        <f t="shared" si="9"/>
        <v>#N/A</v>
      </c>
      <c r="I15" s="23" t="e">
        <f t="shared" si="10"/>
        <v>#N/A</v>
      </c>
      <c r="J15" s="22" t="e">
        <f t="shared" si="11"/>
        <v>#N/A</v>
      </c>
      <c r="K15" s="22" t="e">
        <f t="shared" si="12"/>
        <v>#N/A</v>
      </c>
      <c r="L15" s="22" t="e">
        <f t="shared" si="13"/>
        <v>#N/A</v>
      </c>
      <c r="M15" s="7">
        <f t="shared" si="14"/>
        <v>9.2362469140898559E-2</v>
      </c>
      <c r="N15" s="3" t="e">
        <f t="shared" si="15"/>
        <v>#N/A</v>
      </c>
    </row>
    <row r="16" spans="1:18" x14ac:dyDescent="0.25">
      <c r="A16" s="193" t="s">
        <v>34</v>
      </c>
      <c r="B16" s="194"/>
      <c r="C16" t="e">
        <f>HLOOKUP(C$1,'Real Estate'!$C$74:$W$80,$O7,0)</f>
        <v>#N/A</v>
      </c>
      <c r="D16" t="e">
        <f>HLOOKUP(D$1,'Real Estate'!$C$74:$W$80,$O7,0)</f>
        <v>#N/A</v>
      </c>
      <c r="E16" t="e">
        <f>HLOOKUP(E$1,'Real Estate'!$C$74:$W$80,$O7,0)</f>
        <v>#N/A</v>
      </c>
      <c r="F16">
        <f>HLOOKUP(F$1,'Real Estate'!$C$74:$W$80,$O7,0)</f>
        <v>980000</v>
      </c>
      <c r="G16" s="23" t="e">
        <f t="shared" si="8"/>
        <v>#N/A</v>
      </c>
      <c r="H16" s="23" t="e">
        <f t="shared" si="9"/>
        <v>#N/A</v>
      </c>
      <c r="I16" s="23" t="e">
        <f t="shared" si="10"/>
        <v>#N/A</v>
      </c>
      <c r="J16" s="22" t="e">
        <f t="shared" si="11"/>
        <v>#N/A</v>
      </c>
      <c r="K16" s="22" t="e">
        <f t="shared" si="12"/>
        <v>#N/A</v>
      </c>
      <c r="L16" s="22" t="e">
        <f t="shared" si="13"/>
        <v>#N/A</v>
      </c>
      <c r="M16" s="7">
        <f t="shared" si="14"/>
        <v>0.22984548285610687</v>
      </c>
      <c r="N16" s="3" t="e">
        <f t="shared" si="15"/>
        <v>#N/A</v>
      </c>
    </row>
    <row r="17" spans="1:14" x14ac:dyDescent="0.25">
      <c r="A17" s="193" t="s">
        <v>66</v>
      </c>
      <c r="B17" s="194"/>
      <c r="C17" t="e">
        <f>HLOOKUP(C$1,'Real Estate'!$C$74:$W$80,$O8,0)</f>
        <v>#N/A</v>
      </c>
      <c r="D17" t="e">
        <f>HLOOKUP(D$1,'Real Estate'!$C$74:$W$80,$O8,0)</f>
        <v>#N/A</v>
      </c>
      <c r="E17" t="e">
        <f>HLOOKUP(E$1,'Real Estate'!$C$74:$W$80,$O8,0)</f>
        <v>#N/A</v>
      </c>
      <c r="F17">
        <f>HLOOKUP(F$1,'Real Estate'!$C$74:$W$80,$O8,0)</f>
        <v>546457</v>
      </c>
      <c r="G17" s="23" t="e">
        <f t="shared" si="8"/>
        <v>#N/A</v>
      </c>
      <c r="H17" s="23" t="e">
        <f t="shared" si="9"/>
        <v>#N/A</v>
      </c>
      <c r="I17" s="23" t="e">
        <f t="shared" si="10"/>
        <v>#N/A</v>
      </c>
      <c r="J17" s="22" t="e">
        <f t="shared" si="11"/>
        <v>#N/A</v>
      </c>
      <c r="K17" s="22" t="e">
        <f t="shared" si="12"/>
        <v>#N/A</v>
      </c>
      <c r="L17" s="22" t="e">
        <f t="shared" si="13"/>
        <v>#N/A</v>
      </c>
      <c r="M17" s="7">
        <f t="shared" si="14"/>
        <v>0.12816395206642817</v>
      </c>
      <c r="N17" s="3" t="e">
        <f t="shared" si="15"/>
        <v>#N/A</v>
      </c>
    </row>
    <row r="18" spans="1:14" x14ac:dyDescent="0.25">
      <c r="N18" s="3" t="e">
        <f>SUM(N12:N17)</f>
        <v>#N/A</v>
      </c>
    </row>
  </sheetData>
  <mergeCells count="18">
    <mergeCell ref="A16:B16"/>
    <mergeCell ref="A17:B17"/>
    <mergeCell ref="G1:I1"/>
    <mergeCell ref="A12:B12"/>
    <mergeCell ref="A13:B13"/>
    <mergeCell ref="A14:B14"/>
    <mergeCell ref="A15:B15"/>
    <mergeCell ref="J1:L1"/>
    <mergeCell ref="G10:I10"/>
    <mergeCell ref="J10:L10"/>
    <mergeCell ref="A8:B8"/>
    <mergeCell ref="A11:B11"/>
    <mergeCell ref="A2:B2"/>
    <mergeCell ref="A3:B3"/>
    <mergeCell ref="A4:B4"/>
    <mergeCell ref="A5:B5"/>
    <mergeCell ref="A6:B6"/>
    <mergeCell ref="A7:B7"/>
  </mergeCells>
  <conditionalFormatting sqref="G3:L8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G12:L1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FAF6F-8024-41E4-B890-8257EC59A850}">
  <dimension ref="A1"/>
  <sheetViews>
    <sheetView workbookViewId="0">
      <selection activeCell="C4" sqref="C4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U81"/>
  <sheetViews>
    <sheetView tabSelected="1" topLeftCell="A29" zoomScale="80" zoomScaleNormal="80" workbookViewId="0">
      <pane xSplit="1" topLeftCell="B1" activePane="topRight" state="frozen"/>
      <selection pane="topRight" activeCell="AD63" sqref="AD63"/>
    </sheetView>
  </sheetViews>
  <sheetFormatPr defaultColWidth="8.85546875" defaultRowHeight="15" x14ac:dyDescent="0.25"/>
  <cols>
    <col min="1" max="1" width="45.85546875" style="78" customWidth="1"/>
    <col min="2" max="2" width="20.7109375" style="78" customWidth="1"/>
    <col min="3" max="3" width="15.140625" style="78" customWidth="1"/>
    <col min="4" max="9" width="11" style="78" customWidth="1"/>
    <col min="10" max="10" width="15.42578125" style="78" customWidth="1"/>
    <col min="11" max="11" width="14.42578125" style="78" customWidth="1"/>
    <col min="12" max="12" width="13.42578125" style="78" customWidth="1"/>
    <col min="13" max="13" width="13" style="78" customWidth="1"/>
    <col min="14" max="14" width="13.140625" style="78" customWidth="1"/>
    <col min="15" max="15" width="13.85546875" style="78" customWidth="1"/>
    <col min="16" max="16" width="11.7109375" style="78" customWidth="1"/>
    <col min="17" max="17" width="12.28515625" style="78" customWidth="1"/>
    <col min="18" max="18" width="12.140625" style="78" customWidth="1"/>
    <col min="19" max="19" width="13.85546875" style="78" customWidth="1"/>
    <col min="20" max="20" width="16.7109375" style="78" customWidth="1"/>
    <col min="21" max="21" width="13.85546875" style="78" customWidth="1"/>
    <col min="22" max="22" width="17.42578125" style="78" customWidth="1"/>
    <col min="23" max="23" width="15.5703125" style="78" customWidth="1"/>
    <col min="24" max="24" width="17" style="78" customWidth="1"/>
    <col min="25" max="25" width="16.5703125" style="78" customWidth="1"/>
    <col min="26" max="27" width="10.85546875" style="78" bestFit="1" customWidth="1"/>
    <col min="28" max="42" width="8.85546875" style="150"/>
    <col min="43" max="203" width="8.85546875" style="153"/>
    <col min="204" max="1514" width="8.85546875" style="78"/>
    <col min="1515" max="1515" width="2.5703125" style="78" customWidth="1"/>
    <col min="1516" max="16384" width="8.85546875" style="78"/>
  </cols>
  <sheetData>
    <row r="1" spans="1:203" ht="15.75" thickBot="1" x14ac:dyDescent="0.3">
      <c r="A1" s="126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13"/>
      <c r="AB1" s="149"/>
    </row>
    <row r="2" spans="1:203" x14ac:dyDescent="0.25">
      <c r="A2" s="173" t="s">
        <v>0</v>
      </c>
      <c r="B2" s="174"/>
      <c r="C2" s="94">
        <v>43131</v>
      </c>
      <c r="D2" s="94">
        <v>43159</v>
      </c>
      <c r="E2" s="94">
        <v>43190</v>
      </c>
      <c r="F2" s="94">
        <v>43220</v>
      </c>
      <c r="G2" s="94">
        <v>43251</v>
      </c>
      <c r="H2" s="94">
        <v>43281</v>
      </c>
      <c r="I2" s="94">
        <v>43312</v>
      </c>
      <c r="J2" s="94">
        <v>43343</v>
      </c>
      <c r="K2" s="94">
        <v>43373</v>
      </c>
      <c r="L2" s="94">
        <v>43404</v>
      </c>
      <c r="M2" s="94">
        <v>43434</v>
      </c>
      <c r="N2" s="94">
        <v>43465</v>
      </c>
      <c r="O2" s="94">
        <v>43496</v>
      </c>
      <c r="P2" s="94">
        <v>43524</v>
      </c>
      <c r="Q2" s="94">
        <v>43555</v>
      </c>
      <c r="R2" s="94">
        <v>43585</v>
      </c>
      <c r="S2" s="94">
        <v>43616</v>
      </c>
      <c r="T2" s="94">
        <v>43646</v>
      </c>
      <c r="U2" s="94">
        <v>43677</v>
      </c>
      <c r="V2" s="94">
        <v>43708</v>
      </c>
      <c r="W2" s="94">
        <v>43738</v>
      </c>
      <c r="X2" s="94">
        <v>43769</v>
      </c>
      <c r="Y2" s="94">
        <v>43799</v>
      </c>
      <c r="Z2" s="95">
        <v>43830</v>
      </c>
      <c r="AA2" s="114">
        <v>43861</v>
      </c>
      <c r="AB2" s="149"/>
    </row>
    <row r="3" spans="1:203" s="79" customFormat="1" x14ac:dyDescent="0.25">
      <c r="A3" s="96" t="s">
        <v>0</v>
      </c>
      <c r="B3" s="79" t="s">
        <v>1</v>
      </c>
      <c r="C3" s="79">
        <f>4204+974</f>
        <v>5178</v>
      </c>
      <c r="D3" s="79">
        <f>4770+1066</f>
        <v>5836</v>
      </c>
      <c r="E3" s="79">
        <f>5072+1118</f>
        <v>6190</v>
      </c>
      <c r="F3" s="79">
        <f>5736+1284</f>
        <v>7020</v>
      </c>
      <c r="G3" s="79">
        <f>6316+1544</f>
        <v>7860</v>
      </c>
      <c r="H3" s="79">
        <f>6555+1681</f>
        <v>8236</v>
      </c>
      <c r="I3" s="79">
        <f>6425+1753</f>
        <v>8178</v>
      </c>
      <c r="J3" s="79">
        <f>6226+1740</f>
        <v>7966</v>
      </c>
      <c r="K3" s="79">
        <f>6504+1963</f>
        <v>8467</v>
      </c>
      <c r="L3" s="79">
        <f>6208+1991</f>
        <v>8199</v>
      </c>
      <c r="M3" s="79">
        <f>5787+1918</f>
        <v>7705</v>
      </c>
      <c r="N3" s="79">
        <f>4925+1579</f>
        <v>6504</v>
      </c>
      <c r="O3" s="79">
        <f>4974+1719</f>
        <v>6693</v>
      </c>
      <c r="P3" s="79">
        <f>(5273+1852)</f>
        <v>7125</v>
      </c>
      <c r="Q3" s="79">
        <f>5649+2049</f>
        <v>7698</v>
      </c>
      <c r="R3" s="79">
        <f>6236+2325</f>
        <v>8561</v>
      </c>
      <c r="S3" s="79">
        <f>(6416+2392)</f>
        <v>8808</v>
      </c>
      <c r="T3" s="79">
        <f>6518+2470</f>
        <v>8988</v>
      </c>
      <c r="U3" s="79">
        <f>6218+2369</f>
        <v>8587</v>
      </c>
      <c r="V3" s="79">
        <f>5904+2223</f>
        <v>8127</v>
      </c>
      <c r="W3" s="79">
        <f>5883+2233</f>
        <v>8116</v>
      </c>
      <c r="X3" s="79">
        <f>5419+2047</f>
        <v>7466</v>
      </c>
      <c r="Y3" s="79">
        <f>4786+1812</f>
        <v>6598</v>
      </c>
      <c r="Z3" s="97">
        <f>1418+3941</f>
        <v>5359</v>
      </c>
      <c r="AA3" s="115">
        <f>3799+1407</f>
        <v>5206</v>
      </c>
      <c r="AB3" s="149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  <c r="DZ3" s="153"/>
      <c r="EA3" s="153"/>
      <c r="EB3" s="153"/>
      <c r="EC3" s="153"/>
      <c r="ED3" s="153"/>
      <c r="EE3" s="153"/>
      <c r="EF3" s="153"/>
      <c r="EG3" s="153"/>
      <c r="EH3" s="153"/>
      <c r="EI3" s="153"/>
      <c r="EJ3" s="153"/>
      <c r="EK3" s="153"/>
      <c r="EL3" s="153"/>
      <c r="EM3" s="153"/>
      <c r="EN3" s="153"/>
      <c r="EO3" s="153"/>
      <c r="EP3" s="153"/>
      <c r="EQ3" s="153"/>
      <c r="ER3" s="153"/>
      <c r="ES3" s="153"/>
      <c r="ET3" s="153"/>
      <c r="EU3" s="153"/>
      <c r="EV3" s="153"/>
      <c r="EW3" s="153"/>
      <c r="EX3" s="153"/>
      <c r="EY3" s="153"/>
      <c r="EZ3" s="153"/>
      <c r="FA3" s="153"/>
      <c r="FB3" s="153"/>
      <c r="FC3" s="153"/>
      <c r="FD3" s="153"/>
      <c r="FE3" s="153"/>
      <c r="FF3" s="153"/>
      <c r="FG3" s="153"/>
      <c r="FH3" s="153"/>
      <c r="FI3" s="153"/>
      <c r="FJ3" s="153"/>
      <c r="FK3" s="153"/>
      <c r="FL3" s="153"/>
      <c r="FM3" s="153"/>
      <c r="FN3" s="153"/>
      <c r="FO3" s="153"/>
      <c r="FP3" s="153"/>
      <c r="FQ3" s="153"/>
      <c r="FR3" s="153"/>
      <c r="FS3" s="153"/>
      <c r="FT3" s="153"/>
      <c r="FU3" s="153"/>
      <c r="FV3" s="153"/>
      <c r="FW3" s="153"/>
      <c r="FX3" s="153"/>
      <c r="FY3" s="153"/>
      <c r="FZ3" s="153"/>
      <c r="GA3" s="153"/>
      <c r="GB3" s="153"/>
      <c r="GC3" s="153"/>
      <c r="GD3" s="153"/>
      <c r="GE3" s="153"/>
      <c r="GF3" s="153"/>
      <c r="GG3" s="153"/>
      <c r="GH3" s="153"/>
      <c r="GI3" s="153"/>
      <c r="GJ3" s="153"/>
      <c r="GK3" s="153"/>
      <c r="GL3" s="153"/>
      <c r="GM3" s="153"/>
      <c r="GN3" s="153"/>
      <c r="GO3" s="153"/>
      <c r="GP3" s="153"/>
      <c r="GQ3" s="153"/>
      <c r="GR3" s="153"/>
      <c r="GS3" s="153"/>
      <c r="GT3" s="153"/>
      <c r="GU3" s="153"/>
    </row>
    <row r="4" spans="1:203" x14ac:dyDescent="0.25">
      <c r="A4" s="98" t="s">
        <v>3</v>
      </c>
      <c r="B4" s="78" t="s">
        <v>2</v>
      </c>
      <c r="C4" s="80">
        <v>1769</v>
      </c>
      <c r="D4" s="80">
        <v>1986</v>
      </c>
      <c r="E4" s="78">
        <f>2190</f>
        <v>2190</v>
      </c>
      <c r="F4" s="78">
        <v>2802</v>
      </c>
      <c r="G4" s="78">
        <v>3432</v>
      </c>
      <c r="H4" s="78">
        <v>3711</v>
      </c>
      <c r="I4" s="78">
        <v>3959</v>
      </c>
      <c r="J4" s="78">
        <v>3859</v>
      </c>
      <c r="K4" s="78">
        <v>4617</v>
      </c>
      <c r="L4" s="78">
        <v>4785</v>
      </c>
      <c r="M4" s="78">
        <v>4602</v>
      </c>
      <c r="N4" s="78">
        <v>3771</v>
      </c>
      <c r="O4" s="78">
        <v>4115</v>
      </c>
      <c r="P4" s="78">
        <v>4465</v>
      </c>
      <c r="Q4" s="78">
        <v>5076</v>
      </c>
      <c r="R4" s="78">
        <v>5796</v>
      </c>
      <c r="S4" s="78">
        <v>5877</v>
      </c>
      <c r="T4" s="78">
        <v>5980</v>
      </c>
      <c r="U4" s="78">
        <v>5653</v>
      </c>
      <c r="V4" s="78">
        <v>5269</v>
      </c>
      <c r="W4" s="78">
        <v>5323</v>
      </c>
      <c r="X4" s="78">
        <v>4770</v>
      </c>
      <c r="Y4" s="78">
        <v>4172</v>
      </c>
      <c r="Z4" s="99">
        <v>3244</v>
      </c>
      <c r="AA4" s="116">
        <v>3411</v>
      </c>
      <c r="AB4" s="149"/>
    </row>
    <row r="5" spans="1:203" s="79" customFormat="1" x14ac:dyDescent="0.25">
      <c r="A5" s="96" t="s">
        <v>4</v>
      </c>
      <c r="B5" s="79" t="s">
        <v>1</v>
      </c>
      <c r="C5" s="79">
        <f>487+319</f>
        <v>806</v>
      </c>
      <c r="D5" s="79">
        <f>621+401</f>
        <v>1022</v>
      </c>
      <c r="E5" s="79">
        <f>722+446</f>
        <v>1168</v>
      </c>
      <c r="F5" s="79">
        <f>807+454</f>
        <v>1261</v>
      </c>
      <c r="G5" s="79">
        <f>926+476</f>
        <v>1402</v>
      </c>
      <c r="H5" s="79">
        <f>766+419</f>
        <v>1185</v>
      </c>
      <c r="I5" s="79">
        <f>637+354</f>
        <v>991</v>
      </c>
      <c r="J5" s="79">
        <f>567+337</f>
        <v>904</v>
      </c>
      <c r="K5" s="79">
        <f>508+275</f>
        <v>783</v>
      </c>
      <c r="L5" s="79">
        <f>637+344</f>
        <v>981</v>
      </c>
      <c r="M5" s="79">
        <f>516+282</f>
        <v>798</v>
      </c>
      <c r="N5" s="79">
        <f>348+189</f>
        <v>537</v>
      </c>
      <c r="O5" s="79">
        <f>339+205</f>
        <v>544</v>
      </c>
      <c r="P5" s="79">
        <f>(448+277)</f>
        <v>725</v>
      </c>
      <c r="Q5" s="79">
        <f>529+325</f>
        <v>854</v>
      </c>
      <c r="R5" s="79">
        <f>586+358</f>
        <v>944</v>
      </c>
      <c r="S5" s="79">
        <f>913+419</f>
        <v>1332</v>
      </c>
      <c r="T5" s="79">
        <f>746+390</f>
        <v>1136</v>
      </c>
      <c r="U5" s="79">
        <f>841+473</f>
        <v>1314</v>
      </c>
      <c r="V5" s="79">
        <f>706+409</f>
        <v>1115</v>
      </c>
      <c r="W5" s="79">
        <f>745+422</f>
        <v>1167</v>
      </c>
      <c r="X5" s="79">
        <f>938+536</f>
        <v>1474</v>
      </c>
      <c r="Y5" s="79">
        <f>825+451</f>
        <v>1276</v>
      </c>
      <c r="Z5" s="97">
        <f>599+364</f>
        <v>963</v>
      </c>
      <c r="AA5" s="115">
        <f>439+318</f>
        <v>757</v>
      </c>
      <c r="AB5" s="149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53"/>
      <c r="ER5" s="153"/>
      <c r="ES5" s="153"/>
      <c r="ET5" s="153"/>
      <c r="EU5" s="153"/>
      <c r="EV5" s="153"/>
      <c r="EW5" s="153"/>
      <c r="EX5" s="153"/>
      <c r="EY5" s="153"/>
      <c r="EZ5" s="153"/>
      <c r="FA5" s="153"/>
      <c r="FB5" s="153"/>
      <c r="FC5" s="153"/>
      <c r="FD5" s="153"/>
      <c r="FE5" s="153"/>
      <c r="FF5" s="153"/>
      <c r="FG5" s="153"/>
      <c r="FH5" s="153"/>
      <c r="FI5" s="153"/>
      <c r="FJ5" s="153"/>
      <c r="FK5" s="153"/>
      <c r="FL5" s="153"/>
      <c r="FM5" s="153"/>
      <c r="FN5" s="153"/>
      <c r="FO5" s="153"/>
      <c r="FP5" s="153"/>
      <c r="FQ5" s="153"/>
      <c r="FR5" s="153"/>
      <c r="FS5" s="153"/>
      <c r="FT5" s="153"/>
      <c r="FU5" s="153"/>
      <c r="FV5" s="153"/>
      <c r="FW5" s="153"/>
      <c r="FX5" s="153"/>
      <c r="FY5" s="153"/>
      <c r="FZ5" s="153"/>
      <c r="GA5" s="153"/>
      <c r="GB5" s="153"/>
      <c r="GC5" s="153"/>
      <c r="GD5" s="153"/>
      <c r="GE5" s="153"/>
      <c r="GF5" s="153"/>
      <c r="GG5" s="153"/>
      <c r="GH5" s="153"/>
      <c r="GI5" s="153"/>
      <c r="GJ5" s="153"/>
      <c r="GK5" s="153"/>
      <c r="GL5" s="153"/>
      <c r="GM5" s="153"/>
      <c r="GN5" s="153"/>
      <c r="GO5" s="153"/>
      <c r="GP5" s="153"/>
      <c r="GQ5" s="153"/>
      <c r="GR5" s="153"/>
      <c r="GS5" s="153"/>
      <c r="GT5" s="153"/>
      <c r="GU5" s="153"/>
    </row>
    <row r="6" spans="1:203" x14ac:dyDescent="0.25">
      <c r="A6" s="98" t="s">
        <v>4</v>
      </c>
      <c r="B6" s="78" t="s">
        <v>2</v>
      </c>
      <c r="C6" s="80">
        <v>1012</v>
      </c>
      <c r="D6" s="80">
        <v>1185</v>
      </c>
      <c r="E6" s="78">
        <v>1349</v>
      </c>
      <c r="F6" s="78">
        <v>1308</v>
      </c>
      <c r="G6" s="78">
        <v>1431</v>
      </c>
      <c r="H6" s="78">
        <v>1240</v>
      </c>
      <c r="I6" s="78">
        <v>1079</v>
      </c>
      <c r="J6" s="78">
        <v>1025</v>
      </c>
      <c r="K6" s="78">
        <v>812</v>
      </c>
      <c r="L6" s="78">
        <v>985</v>
      </c>
      <c r="M6" s="78">
        <v>810</v>
      </c>
      <c r="N6" s="78">
        <v>535</v>
      </c>
      <c r="O6" s="78">
        <v>559</v>
      </c>
      <c r="P6" s="78">
        <v>759</v>
      </c>
      <c r="Q6" s="78">
        <v>873</v>
      </c>
      <c r="R6" s="78">
        <v>885</v>
      </c>
      <c r="S6" s="78">
        <v>1246</v>
      </c>
      <c r="T6" s="78">
        <v>941</v>
      </c>
      <c r="U6" s="78">
        <v>1243</v>
      </c>
      <c r="V6" s="78">
        <v>1116</v>
      </c>
      <c r="W6" s="78">
        <v>1166</v>
      </c>
      <c r="X6" s="80">
        <v>1384</v>
      </c>
      <c r="Y6" s="78">
        <v>1222</v>
      </c>
      <c r="Z6" s="99">
        <v>1053</v>
      </c>
      <c r="AA6" s="116">
        <v>814</v>
      </c>
      <c r="AB6" s="149"/>
    </row>
    <row r="7" spans="1:203" s="79" customFormat="1" x14ac:dyDescent="0.25">
      <c r="A7" s="96" t="s">
        <v>5</v>
      </c>
      <c r="B7" s="79" t="s">
        <v>1</v>
      </c>
      <c r="C7" s="81">
        <f t="shared" ref="C7:Q8" si="0">C5/C3</f>
        <v>0.15565855542680571</v>
      </c>
      <c r="D7" s="81">
        <f t="shared" si="0"/>
        <v>0.17511994516792323</v>
      </c>
      <c r="E7" s="81">
        <f t="shared" si="0"/>
        <v>0.18869143780290792</v>
      </c>
      <c r="F7" s="81">
        <f t="shared" si="0"/>
        <v>0.17962962962962964</v>
      </c>
      <c r="G7" s="81">
        <f t="shared" si="0"/>
        <v>0.17837150127226464</v>
      </c>
      <c r="H7" s="81">
        <f t="shared" si="0"/>
        <v>0.14388052452646916</v>
      </c>
      <c r="I7" s="81">
        <f t="shared" si="0"/>
        <v>0.12117877231596967</v>
      </c>
      <c r="J7" s="81">
        <f t="shared" si="0"/>
        <v>0.11348229977403967</v>
      </c>
      <c r="K7" s="81">
        <f t="shared" si="0"/>
        <v>9.2476674146687143E-2</v>
      </c>
      <c r="L7" s="81">
        <f t="shared" si="0"/>
        <v>0.11964873765093303</v>
      </c>
      <c r="M7" s="81">
        <f t="shared" si="0"/>
        <v>0.1035691109669046</v>
      </c>
      <c r="N7" s="81">
        <f t="shared" si="0"/>
        <v>8.2564575645756463E-2</v>
      </c>
      <c r="O7" s="81">
        <f t="shared" si="0"/>
        <v>8.1278948154788588E-2</v>
      </c>
      <c r="P7" s="81">
        <f t="shared" si="0"/>
        <v>0.10175438596491228</v>
      </c>
      <c r="Q7" s="81">
        <f t="shared" si="0"/>
        <v>0.11093790594959729</v>
      </c>
      <c r="R7" s="81">
        <f t="shared" ref="R7:Z7" si="1">R5/R3</f>
        <v>0.11026749211540708</v>
      </c>
      <c r="S7" s="81">
        <f t="shared" si="1"/>
        <v>0.15122615803814715</v>
      </c>
      <c r="T7" s="81">
        <f t="shared" si="1"/>
        <v>0.12639074321317312</v>
      </c>
      <c r="U7" s="81">
        <f t="shared" si="1"/>
        <v>0.15302201001513915</v>
      </c>
      <c r="V7" s="81">
        <f t="shared" si="1"/>
        <v>0.13719699766211393</v>
      </c>
      <c r="W7" s="81">
        <f t="shared" si="1"/>
        <v>0.14379004435682602</v>
      </c>
      <c r="X7" s="81">
        <f t="shared" si="1"/>
        <v>0.19742834181623359</v>
      </c>
      <c r="Y7" s="81">
        <f t="shared" si="1"/>
        <v>0.19339193695059109</v>
      </c>
      <c r="Z7" s="100">
        <f t="shared" si="1"/>
        <v>0.17969770479567082</v>
      </c>
      <c r="AA7" s="117">
        <f>AA5/AA3</f>
        <v>0.1454091432961967</v>
      </c>
      <c r="AB7" s="149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  <c r="DJ7" s="153"/>
      <c r="DK7" s="153"/>
      <c r="DL7" s="153"/>
      <c r="DM7" s="153"/>
      <c r="DN7" s="153"/>
      <c r="DO7" s="153"/>
      <c r="DP7" s="153"/>
      <c r="DQ7" s="153"/>
      <c r="DR7" s="153"/>
      <c r="DS7" s="153"/>
      <c r="DT7" s="153"/>
      <c r="DU7" s="153"/>
      <c r="DV7" s="153"/>
      <c r="DW7" s="153"/>
      <c r="DX7" s="153"/>
      <c r="DY7" s="153"/>
      <c r="DZ7" s="153"/>
      <c r="EA7" s="153"/>
      <c r="EB7" s="153"/>
      <c r="EC7" s="153"/>
      <c r="ED7" s="153"/>
      <c r="EE7" s="153"/>
      <c r="EF7" s="153"/>
      <c r="EG7" s="153"/>
      <c r="EH7" s="153"/>
      <c r="EI7" s="153"/>
      <c r="EJ7" s="153"/>
      <c r="EK7" s="153"/>
      <c r="EL7" s="153"/>
      <c r="EM7" s="153"/>
      <c r="EN7" s="153"/>
      <c r="EO7" s="153"/>
      <c r="EP7" s="153"/>
      <c r="EQ7" s="153"/>
      <c r="ER7" s="153"/>
      <c r="ES7" s="153"/>
      <c r="ET7" s="153"/>
      <c r="EU7" s="153"/>
      <c r="EV7" s="153"/>
      <c r="EW7" s="153"/>
      <c r="EX7" s="153"/>
      <c r="EY7" s="153"/>
      <c r="EZ7" s="153"/>
      <c r="FA7" s="153"/>
      <c r="FB7" s="153"/>
      <c r="FC7" s="153"/>
      <c r="FD7" s="153"/>
      <c r="FE7" s="153"/>
      <c r="FF7" s="153"/>
      <c r="FG7" s="153"/>
      <c r="FH7" s="153"/>
      <c r="FI7" s="153"/>
      <c r="FJ7" s="153"/>
      <c r="FK7" s="153"/>
      <c r="FL7" s="153"/>
      <c r="FM7" s="153"/>
      <c r="FN7" s="153"/>
      <c r="FO7" s="153"/>
      <c r="FP7" s="153"/>
      <c r="FQ7" s="153"/>
      <c r="FR7" s="153"/>
      <c r="FS7" s="153"/>
      <c r="FT7" s="153"/>
      <c r="FU7" s="153"/>
      <c r="FV7" s="153"/>
      <c r="FW7" s="153"/>
      <c r="FX7" s="153"/>
      <c r="FY7" s="153"/>
      <c r="FZ7" s="153"/>
      <c r="GA7" s="153"/>
      <c r="GB7" s="153"/>
      <c r="GC7" s="153"/>
      <c r="GD7" s="153"/>
      <c r="GE7" s="153"/>
      <c r="GF7" s="153"/>
      <c r="GG7" s="153"/>
      <c r="GH7" s="153"/>
      <c r="GI7" s="153"/>
      <c r="GJ7" s="153"/>
      <c r="GK7" s="153"/>
      <c r="GL7" s="153"/>
      <c r="GM7" s="153"/>
      <c r="GN7" s="153"/>
      <c r="GO7" s="153"/>
      <c r="GP7" s="153"/>
      <c r="GQ7" s="153"/>
      <c r="GR7" s="153"/>
      <c r="GS7" s="153"/>
      <c r="GT7" s="153"/>
      <c r="GU7" s="153"/>
    </row>
    <row r="8" spans="1:203" x14ac:dyDescent="0.25">
      <c r="A8" s="98" t="s">
        <v>5</v>
      </c>
      <c r="B8" s="78" t="s">
        <v>2</v>
      </c>
      <c r="C8" s="82">
        <f t="shared" si="0"/>
        <v>0.57207461842849072</v>
      </c>
      <c r="D8" s="82">
        <f t="shared" si="0"/>
        <v>0.59667673716012082</v>
      </c>
      <c r="E8" s="82">
        <f t="shared" si="0"/>
        <v>0.61598173515981736</v>
      </c>
      <c r="F8" s="82">
        <f t="shared" si="0"/>
        <v>0.46680942184154178</v>
      </c>
      <c r="G8" s="82">
        <f t="shared" si="0"/>
        <v>0.41695804195804198</v>
      </c>
      <c r="H8" s="82">
        <f t="shared" si="0"/>
        <v>0.33414174077068176</v>
      </c>
      <c r="I8" s="82">
        <f t="shared" si="0"/>
        <v>0.27254357160899217</v>
      </c>
      <c r="J8" s="82">
        <f t="shared" si="0"/>
        <v>0.26561285307074373</v>
      </c>
      <c r="K8" s="82">
        <f t="shared" si="0"/>
        <v>0.17587177821095951</v>
      </c>
      <c r="L8" s="82">
        <f t="shared" si="0"/>
        <v>0.20585161964472309</v>
      </c>
      <c r="M8" s="82">
        <f t="shared" si="0"/>
        <v>0.1760104302477184</v>
      </c>
      <c r="N8" s="82">
        <f t="shared" si="0"/>
        <v>0.14187218244497482</v>
      </c>
      <c r="O8" s="82">
        <f t="shared" si="0"/>
        <v>0.13584447144592954</v>
      </c>
      <c r="P8" s="82">
        <f t="shared" si="0"/>
        <v>0.16998880179171333</v>
      </c>
      <c r="Q8" s="82">
        <f t="shared" si="0"/>
        <v>0.17198581560283688</v>
      </c>
      <c r="R8" s="82">
        <f t="shared" ref="R8:Z8" si="2">R6/R4</f>
        <v>0.15269151138716355</v>
      </c>
      <c r="S8" s="82">
        <f t="shared" si="2"/>
        <v>0.21201293176790881</v>
      </c>
      <c r="T8" s="82">
        <f t="shared" si="2"/>
        <v>0.15735785953177259</v>
      </c>
      <c r="U8" s="82">
        <f t="shared" si="2"/>
        <v>0.21988324783300903</v>
      </c>
      <c r="V8" s="82">
        <f t="shared" si="2"/>
        <v>0.21180489656481305</v>
      </c>
      <c r="W8" s="82">
        <f t="shared" si="2"/>
        <v>0.2190494082284426</v>
      </c>
      <c r="X8" s="82">
        <f t="shared" si="2"/>
        <v>0.29014675052410899</v>
      </c>
      <c r="Y8" s="82">
        <f t="shared" si="2"/>
        <v>0.2929050814956855</v>
      </c>
      <c r="Z8" s="101">
        <f t="shared" si="2"/>
        <v>0.32459926017262641</v>
      </c>
      <c r="AA8" s="118">
        <f>AA6/AA4</f>
        <v>0.23863969510407504</v>
      </c>
      <c r="AB8" s="149"/>
    </row>
    <row r="9" spans="1:203" s="83" customFormat="1" x14ac:dyDescent="0.25">
      <c r="A9" s="102" t="s">
        <v>6</v>
      </c>
      <c r="B9" s="83" t="s">
        <v>1</v>
      </c>
      <c r="C9" s="83">
        <f>(1601500+803700)/2</f>
        <v>1202600</v>
      </c>
      <c r="D9" s="83">
        <f>(1602000+819200)/2</f>
        <v>1210600</v>
      </c>
      <c r="E9" s="83">
        <f>(1608500+835000)/2</f>
        <v>1221750</v>
      </c>
      <c r="F9" s="83">
        <f>(1605800+854200)/2</f>
        <v>1230000</v>
      </c>
      <c r="G9" s="83">
        <f>(1608000+859500)/2</f>
        <v>1233750</v>
      </c>
      <c r="H9" s="83">
        <f>(1598200+859800)/2</f>
        <v>1229000</v>
      </c>
      <c r="I9" s="83">
        <f>(1588400+856000)/2</f>
        <v>1222200</v>
      </c>
      <c r="J9" s="83">
        <f>(1561000+846000)/2</f>
        <v>1203500</v>
      </c>
      <c r="K9" s="83">
        <f>(1540900+837600)/2</f>
        <v>1189250</v>
      </c>
      <c r="L9" s="83">
        <f>(1524000+829200)/2</f>
        <v>1176600</v>
      </c>
      <c r="M9" s="83">
        <f>(1500100+818500)/2</f>
        <v>1159300</v>
      </c>
      <c r="N9" s="83">
        <f>(1479000+809700)/2</f>
        <v>1144350</v>
      </c>
      <c r="O9" s="83">
        <f>(1453400+800600)/2</f>
        <v>1127000</v>
      </c>
      <c r="P9" s="83">
        <f>(1443100+789300)/2</f>
        <v>1116200</v>
      </c>
      <c r="Q9" s="83">
        <f>(1437100+783600)/2</f>
        <v>1110350</v>
      </c>
      <c r="R9" s="83">
        <f>(1437100+783300)/2</f>
        <v>1110200</v>
      </c>
      <c r="S9" s="83">
        <f>(1421900+779400)/2</f>
        <v>1100650</v>
      </c>
      <c r="T9" s="83">
        <f>(1423500+774700)/2</f>
        <v>1099100</v>
      </c>
      <c r="U9" s="83">
        <f>(1417000+770000)/2</f>
        <v>1093500</v>
      </c>
      <c r="V9" s="83">
        <f>(1406700+771900)/2</f>
        <v>1089300</v>
      </c>
      <c r="W9" s="83">
        <f>(1406200+767500)/2</f>
        <v>1086850</v>
      </c>
      <c r="X9" s="83">
        <f>(1410500+771600)/2</f>
        <v>1091050</v>
      </c>
      <c r="Y9" s="83">
        <f>(1415400+772800)/2</f>
        <v>1094100</v>
      </c>
      <c r="Z9" s="103">
        <f>(1423500+778400)/2</f>
        <v>1100950</v>
      </c>
      <c r="AA9" s="119">
        <f>(1431200+782500)/2</f>
        <v>1106850</v>
      </c>
      <c r="AB9" s="151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4"/>
      <c r="BN9" s="154"/>
      <c r="BO9" s="154"/>
      <c r="BP9" s="154"/>
      <c r="BQ9" s="154"/>
      <c r="BR9" s="154"/>
      <c r="BS9" s="154"/>
      <c r="BT9" s="154"/>
      <c r="BU9" s="154"/>
      <c r="BV9" s="154"/>
      <c r="BW9" s="154"/>
      <c r="BX9" s="154"/>
      <c r="BY9" s="154"/>
      <c r="BZ9" s="154"/>
      <c r="CA9" s="154"/>
      <c r="CB9" s="154"/>
      <c r="CC9" s="154"/>
      <c r="CD9" s="154"/>
      <c r="CE9" s="154"/>
      <c r="CF9" s="154"/>
      <c r="CG9" s="154"/>
      <c r="CH9" s="154"/>
      <c r="CI9" s="154"/>
      <c r="CJ9" s="154"/>
      <c r="CK9" s="154"/>
      <c r="CL9" s="154"/>
      <c r="CM9" s="154"/>
      <c r="CN9" s="154"/>
      <c r="CO9" s="154"/>
      <c r="CP9" s="154"/>
      <c r="CQ9" s="154"/>
      <c r="CR9" s="154"/>
      <c r="CS9" s="154"/>
      <c r="CT9" s="154"/>
      <c r="CU9" s="154"/>
      <c r="CV9" s="154"/>
      <c r="CW9" s="154"/>
      <c r="CX9" s="154"/>
      <c r="CY9" s="154"/>
      <c r="CZ9" s="154"/>
      <c r="DA9" s="154"/>
      <c r="DB9" s="154"/>
      <c r="DC9" s="154"/>
      <c r="DD9" s="154"/>
      <c r="DE9" s="154"/>
      <c r="DF9" s="154"/>
      <c r="DG9" s="154"/>
      <c r="DH9" s="154"/>
      <c r="DI9" s="154"/>
      <c r="DJ9" s="154"/>
      <c r="DK9" s="154"/>
      <c r="DL9" s="154"/>
      <c r="DM9" s="154"/>
      <c r="DN9" s="154"/>
      <c r="DO9" s="154"/>
      <c r="DP9" s="154"/>
      <c r="DQ9" s="154"/>
      <c r="DR9" s="154"/>
      <c r="DS9" s="154"/>
      <c r="DT9" s="154"/>
      <c r="DU9" s="154"/>
      <c r="DV9" s="154"/>
      <c r="DW9" s="154"/>
      <c r="DX9" s="154"/>
      <c r="DY9" s="154"/>
      <c r="DZ9" s="154"/>
      <c r="EA9" s="154"/>
      <c r="EB9" s="154"/>
      <c r="EC9" s="154"/>
      <c r="ED9" s="154"/>
      <c r="EE9" s="154"/>
      <c r="EF9" s="154"/>
      <c r="EG9" s="154"/>
      <c r="EH9" s="154"/>
      <c r="EI9" s="154"/>
      <c r="EJ9" s="154"/>
      <c r="EK9" s="154"/>
      <c r="EL9" s="154"/>
      <c r="EM9" s="154"/>
      <c r="EN9" s="154"/>
      <c r="EO9" s="154"/>
      <c r="EP9" s="154"/>
      <c r="EQ9" s="154"/>
      <c r="ER9" s="154"/>
      <c r="ES9" s="154"/>
      <c r="ET9" s="154"/>
      <c r="EU9" s="154"/>
      <c r="EV9" s="154"/>
      <c r="EW9" s="154"/>
      <c r="EX9" s="154"/>
      <c r="EY9" s="154"/>
      <c r="EZ9" s="154"/>
      <c r="FA9" s="154"/>
      <c r="FB9" s="154"/>
      <c r="FC9" s="154"/>
      <c r="FD9" s="154"/>
      <c r="FE9" s="154"/>
      <c r="FF9" s="154"/>
      <c r="FG9" s="154"/>
      <c r="FH9" s="154"/>
      <c r="FI9" s="154"/>
      <c r="FJ9" s="154"/>
      <c r="FK9" s="154"/>
      <c r="FL9" s="154"/>
      <c r="FM9" s="154"/>
      <c r="FN9" s="154"/>
      <c r="FO9" s="154"/>
      <c r="FP9" s="154"/>
      <c r="FQ9" s="154"/>
      <c r="FR9" s="154"/>
      <c r="FS9" s="154"/>
      <c r="FT9" s="154"/>
      <c r="FU9" s="154"/>
      <c r="FV9" s="154"/>
      <c r="FW9" s="154"/>
      <c r="FX9" s="154"/>
      <c r="FY9" s="154"/>
      <c r="FZ9" s="154"/>
      <c r="GA9" s="154"/>
      <c r="GB9" s="154"/>
      <c r="GC9" s="154"/>
      <c r="GD9" s="154"/>
      <c r="GE9" s="154"/>
      <c r="GF9" s="154"/>
      <c r="GG9" s="154"/>
      <c r="GH9" s="154"/>
      <c r="GI9" s="154"/>
      <c r="GJ9" s="154"/>
      <c r="GK9" s="154"/>
      <c r="GL9" s="154"/>
      <c r="GM9" s="154"/>
      <c r="GN9" s="154"/>
      <c r="GO9" s="154"/>
      <c r="GP9" s="154"/>
      <c r="GQ9" s="154"/>
      <c r="GR9" s="154"/>
      <c r="GS9" s="154"/>
      <c r="GT9" s="154"/>
      <c r="GU9" s="154"/>
    </row>
    <row r="10" spans="1:203" s="84" customFormat="1" x14ac:dyDescent="0.25">
      <c r="A10" s="104" t="s">
        <v>6</v>
      </c>
      <c r="B10" s="84" t="s">
        <v>2</v>
      </c>
      <c r="C10" s="85">
        <v>665400</v>
      </c>
      <c r="D10" s="84">
        <v>682800</v>
      </c>
      <c r="E10" s="84">
        <v>693500</v>
      </c>
      <c r="F10" s="84">
        <v>701000</v>
      </c>
      <c r="G10" s="84">
        <v>701700</v>
      </c>
      <c r="H10" s="84">
        <v>704200</v>
      </c>
      <c r="I10" s="84">
        <v>700500</v>
      </c>
      <c r="J10" s="84">
        <v>695500</v>
      </c>
      <c r="K10" s="84">
        <v>687300</v>
      </c>
      <c r="L10" s="84">
        <v>683500</v>
      </c>
      <c r="M10" s="84">
        <v>667800</v>
      </c>
      <c r="N10" s="84">
        <v>664100</v>
      </c>
      <c r="O10" s="84">
        <v>658600</v>
      </c>
      <c r="P10" s="84">
        <v>660300</v>
      </c>
      <c r="Q10" s="84">
        <v>656900</v>
      </c>
      <c r="R10" s="84">
        <v>656900</v>
      </c>
      <c r="S10" s="84">
        <v>664200</v>
      </c>
      <c r="T10" s="84">
        <v>654700</v>
      </c>
      <c r="U10" s="84">
        <v>653200</v>
      </c>
      <c r="V10" s="84">
        <v>654000</v>
      </c>
      <c r="W10" s="84">
        <v>651500</v>
      </c>
      <c r="X10" s="84">
        <v>652500</v>
      </c>
      <c r="Y10" s="84">
        <v>651500</v>
      </c>
      <c r="Z10" s="105">
        <v>656700</v>
      </c>
      <c r="AA10" s="120">
        <v>663200</v>
      </c>
      <c r="AB10" s="151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4"/>
      <c r="BP10" s="154"/>
      <c r="BQ10" s="154"/>
      <c r="BR10" s="154"/>
      <c r="BS10" s="154"/>
      <c r="BT10" s="154"/>
      <c r="BU10" s="154"/>
      <c r="BV10" s="154"/>
      <c r="BW10" s="154"/>
      <c r="BX10" s="154"/>
      <c r="BY10" s="154"/>
      <c r="BZ10" s="154"/>
      <c r="CA10" s="154"/>
      <c r="CB10" s="154"/>
      <c r="CC10" s="154"/>
      <c r="CD10" s="154"/>
      <c r="CE10" s="154"/>
      <c r="CF10" s="154"/>
      <c r="CG10" s="154"/>
      <c r="CH10" s="154"/>
      <c r="CI10" s="154"/>
      <c r="CJ10" s="154"/>
      <c r="CK10" s="154"/>
      <c r="CL10" s="154"/>
      <c r="CM10" s="154"/>
      <c r="CN10" s="154"/>
      <c r="CO10" s="154"/>
      <c r="CP10" s="154"/>
      <c r="CQ10" s="154"/>
      <c r="CR10" s="154"/>
      <c r="CS10" s="154"/>
      <c r="CT10" s="154"/>
      <c r="CU10" s="154"/>
      <c r="CV10" s="154"/>
      <c r="CW10" s="154"/>
      <c r="CX10" s="154"/>
      <c r="CY10" s="154"/>
      <c r="CZ10" s="154"/>
      <c r="DA10" s="154"/>
      <c r="DB10" s="154"/>
      <c r="DC10" s="154"/>
      <c r="DD10" s="154"/>
      <c r="DE10" s="154"/>
      <c r="DF10" s="154"/>
      <c r="DG10" s="154"/>
      <c r="DH10" s="154"/>
      <c r="DI10" s="154"/>
      <c r="DJ10" s="154"/>
      <c r="DK10" s="154"/>
      <c r="DL10" s="154"/>
      <c r="DM10" s="154"/>
      <c r="DN10" s="154"/>
      <c r="DO10" s="154"/>
      <c r="DP10" s="154"/>
      <c r="DQ10" s="154"/>
      <c r="DR10" s="154"/>
      <c r="DS10" s="154"/>
      <c r="DT10" s="154"/>
      <c r="DU10" s="154"/>
      <c r="DV10" s="154"/>
      <c r="DW10" s="154"/>
      <c r="DX10" s="154"/>
      <c r="DY10" s="154"/>
      <c r="DZ10" s="154"/>
      <c r="EA10" s="154"/>
      <c r="EB10" s="154"/>
      <c r="EC10" s="154"/>
      <c r="ED10" s="154"/>
      <c r="EE10" s="154"/>
      <c r="EF10" s="154"/>
      <c r="EG10" s="154"/>
      <c r="EH10" s="154"/>
      <c r="EI10" s="154"/>
      <c r="EJ10" s="154"/>
      <c r="EK10" s="154"/>
      <c r="EL10" s="154"/>
      <c r="EM10" s="154"/>
      <c r="EN10" s="154"/>
      <c r="EO10" s="154"/>
      <c r="EP10" s="154"/>
      <c r="EQ10" s="154"/>
      <c r="ER10" s="154"/>
      <c r="ES10" s="154"/>
      <c r="ET10" s="154"/>
      <c r="EU10" s="154"/>
      <c r="EV10" s="154"/>
      <c r="EW10" s="154"/>
      <c r="EX10" s="154"/>
      <c r="EY10" s="154"/>
      <c r="EZ10" s="154"/>
      <c r="FA10" s="154"/>
      <c r="FB10" s="154"/>
      <c r="FC10" s="154"/>
      <c r="FD10" s="154"/>
      <c r="FE10" s="154"/>
      <c r="FF10" s="154"/>
      <c r="FG10" s="154"/>
      <c r="FH10" s="154"/>
      <c r="FI10" s="154"/>
      <c r="FJ10" s="154"/>
      <c r="FK10" s="154"/>
      <c r="FL10" s="154"/>
      <c r="FM10" s="154"/>
      <c r="FN10" s="154"/>
      <c r="FO10" s="154"/>
      <c r="FP10" s="154"/>
      <c r="FQ10" s="154"/>
      <c r="FR10" s="154"/>
      <c r="FS10" s="154"/>
      <c r="FT10" s="154"/>
      <c r="FU10" s="154"/>
      <c r="FV10" s="154"/>
      <c r="FW10" s="154"/>
      <c r="FX10" s="154"/>
      <c r="FY10" s="154"/>
      <c r="FZ10" s="154"/>
      <c r="GA10" s="154"/>
      <c r="GB10" s="154"/>
      <c r="GC10" s="154"/>
      <c r="GD10" s="154"/>
      <c r="GE10" s="154"/>
      <c r="GF10" s="154"/>
      <c r="GG10" s="154"/>
      <c r="GH10" s="154"/>
      <c r="GI10" s="154"/>
      <c r="GJ10" s="154"/>
      <c r="GK10" s="154"/>
      <c r="GL10" s="154"/>
      <c r="GM10" s="154"/>
      <c r="GN10" s="154"/>
      <c r="GO10" s="154"/>
      <c r="GP10" s="154"/>
      <c r="GQ10" s="154"/>
      <c r="GR10" s="154"/>
      <c r="GS10" s="154"/>
      <c r="GT10" s="154"/>
      <c r="GU10" s="154"/>
    </row>
    <row r="11" spans="1:203" s="79" customFormat="1" x14ac:dyDescent="0.25">
      <c r="A11" s="96" t="s">
        <v>7</v>
      </c>
      <c r="B11" s="79" t="s">
        <v>1</v>
      </c>
      <c r="C11" s="79">
        <f>(54+30)/2</f>
        <v>42</v>
      </c>
      <c r="D11" s="79">
        <f>(44+27)/2</f>
        <v>35.5</v>
      </c>
      <c r="E11" s="79">
        <f>(40+22)/2</f>
        <v>31</v>
      </c>
      <c r="F11" s="79">
        <f>(37+23)/2</f>
        <v>30</v>
      </c>
      <c r="G11" s="79">
        <f>(38+23)/2</f>
        <v>30.5</v>
      </c>
      <c r="H11" s="79">
        <f>(38+22)/2</f>
        <v>30</v>
      </c>
      <c r="I11" s="79">
        <f>(47+27)/2</f>
        <v>37</v>
      </c>
      <c r="J11" s="86">
        <f>(54+31)/2</f>
        <v>42.5</v>
      </c>
      <c r="K11" s="79">
        <f>(53+33)/2</f>
        <v>43</v>
      </c>
      <c r="L11" s="86">
        <f>(53+32)/2</f>
        <v>42.5</v>
      </c>
      <c r="M11" s="79">
        <f>(55+40)/2</f>
        <v>47.5</v>
      </c>
      <c r="N11" s="79">
        <f>(56+44)/2</f>
        <v>50</v>
      </c>
      <c r="O11" s="79">
        <f>(64+52)/2</f>
        <v>58</v>
      </c>
      <c r="P11" s="79">
        <f>(55+39)/2</f>
        <v>47</v>
      </c>
      <c r="Q11" s="79">
        <f>(46+39)/2</f>
        <v>42.5</v>
      </c>
      <c r="R11" s="79">
        <f>(52+33)/2</f>
        <v>42.5</v>
      </c>
      <c r="S11" s="79">
        <f>(45+36)/2</f>
        <v>40.5</v>
      </c>
      <c r="T11" s="79">
        <f>(48+34)/2</f>
        <v>41</v>
      </c>
      <c r="U11" s="79">
        <f>(48+41)/2</f>
        <v>44.5</v>
      </c>
      <c r="V11" s="79">
        <f>(55+44)/2</f>
        <v>49.5</v>
      </c>
      <c r="W11" s="79">
        <f>(58+45)/2</f>
        <v>51.5</v>
      </c>
      <c r="X11" s="79">
        <f>(55+43)/2</f>
        <v>49</v>
      </c>
      <c r="Y11" s="79">
        <f>(57+42)/2</f>
        <v>49.5</v>
      </c>
      <c r="Z11" s="97">
        <f>(65+51)/2</f>
        <v>58</v>
      </c>
      <c r="AA11" s="115">
        <f>(69+58)/2</f>
        <v>63.5</v>
      </c>
      <c r="AB11" s="149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3"/>
      <c r="EJ11" s="153"/>
      <c r="EK11" s="153"/>
      <c r="EL11" s="153"/>
      <c r="EM11" s="153"/>
      <c r="EN11" s="153"/>
      <c r="EO11" s="153"/>
      <c r="EP11" s="153"/>
      <c r="EQ11" s="153"/>
      <c r="ER11" s="153"/>
      <c r="ES11" s="153"/>
      <c r="ET11" s="153"/>
      <c r="EU11" s="153"/>
      <c r="EV11" s="153"/>
      <c r="EW11" s="153"/>
      <c r="EX11" s="153"/>
      <c r="EY11" s="153"/>
      <c r="EZ11" s="153"/>
      <c r="FA11" s="153"/>
      <c r="FB11" s="153"/>
      <c r="FC11" s="153"/>
      <c r="FD11" s="153"/>
      <c r="FE11" s="153"/>
      <c r="FF11" s="153"/>
      <c r="FG11" s="153"/>
      <c r="FH11" s="153"/>
      <c r="FI11" s="153"/>
      <c r="FJ11" s="153"/>
      <c r="FK11" s="153"/>
      <c r="FL11" s="153"/>
      <c r="FM11" s="153"/>
      <c r="FN11" s="153"/>
      <c r="FO11" s="153"/>
      <c r="FP11" s="153"/>
      <c r="FQ11" s="153"/>
      <c r="FR11" s="153"/>
      <c r="FS11" s="153"/>
      <c r="FT11" s="153"/>
      <c r="FU11" s="153"/>
      <c r="FV11" s="153"/>
      <c r="FW11" s="153"/>
      <c r="FX11" s="153"/>
      <c r="FY11" s="153"/>
      <c r="FZ11" s="153"/>
      <c r="GA11" s="153"/>
      <c r="GB11" s="153"/>
      <c r="GC11" s="153"/>
      <c r="GD11" s="153"/>
      <c r="GE11" s="153"/>
      <c r="GF11" s="153"/>
      <c r="GG11" s="153"/>
      <c r="GH11" s="153"/>
      <c r="GI11" s="153"/>
      <c r="GJ11" s="153"/>
      <c r="GK11" s="153"/>
      <c r="GL11" s="153"/>
      <c r="GM11" s="153"/>
      <c r="GN11" s="153"/>
      <c r="GO11" s="153"/>
      <c r="GP11" s="153"/>
      <c r="GQ11" s="153"/>
      <c r="GR11" s="153"/>
      <c r="GS11" s="153"/>
      <c r="GT11" s="153"/>
      <c r="GU11" s="153"/>
    </row>
    <row r="12" spans="1:203" x14ac:dyDescent="0.25">
      <c r="A12" s="98" t="s">
        <v>7</v>
      </c>
      <c r="B12" s="78" t="s">
        <v>2</v>
      </c>
      <c r="C12" s="78">
        <v>28</v>
      </c>
      <c r="D12" s="78">
        <v>20</v>
      </c>
      <c r="E12" s="78">
        <v>18</v>
      </c>
      <c r="F12" s="78">
        <v>19</v>
      </c>
      <c r="G12" s="78">
        <v>17</v>
      </c>
      <c r="H12" s="78">
        <v>21</v>
      </c>
      <c r="I12" s="78">
        <v>24</v>
      </c>
      <c r="J12" s="78">
        <v>29</v>
      </c>
      <c r="K12" s="78">
        <v>32</v>
      </c>
      <c r="L12" s="78">
        <v>29</v>
      </c>
      <c r="M12" s="78">
        <v>34</v>
      </c>
      <c r="N12" s="78">
        <v>41</v>
      </c>
      <c r="O12" s="78">
        <v>47</v>
      </c>
      <c r="P12" s="78">
        <v>40</v>
      </c>
      <c r="Q12" s="78">
        <v>37</v>
      </c>
      <c r="R12" s="78">
        <v>33</v>
      </c>
      <c r="S12" s="78">
        <v>34</v>
      </c>
      <c r="T12" s="78">
        <v>36</v>
      </c>
      <c r="U12" s="78">
        <v>37</v>
      </c>
      <c r="V12" s="78">
        <v>42</v>
      </c>
      <c r="W12" s="78">
        <v>43</v>
      </c>
      <c r="X12" s="78">
        <v>41</v>
      </c>
      <c r="Y12" s="78">
        <v>44</v>
      </c>
      <c r="Z12" s="99">
        <v>48</v>
      </c>
      <c r="AA12" s="116">
        <v>43</v>
      </c>
      <c r="AB12" s="149"/>
    </row>
    <row r="13" spans="1:203" x14ac:dyDescent="0.25">
      <c r="A13" s="106" t="s">
        <v>85</v>
      </c>
      <c r="I13" s="82"/>
      <c r="Z13" s="99"/>
      <c r="AA13" s="116"/>
      <c r="AB13" s="149"/>
    </row>
    <row r="14" spans="1:203" x14ac:dyDescent="0.25">
      <c r="A14" s="175" t="s">
        <v>14</v>
      </c>
      <c r="B14" s="176"/>
      <c r="C14" s="77">
        <f t="shared" ref="C14:Z14" si="3">C2</f>
        <v>43131</v>
      </c>
      <c r="D14" s="77">
        <f t="shared" si="3"/>
        <v>43159</v>
      </c>
      <c r="E14" s="77">
        <f t="shared" si="3"/>
        <v>43190</v>
      </c>
      <c r="F14" s="77">
        <f t="shared" si="3"/>
        <v>43220</v>
      </c>
      <c r="G14" s="77">
        <f t="shared" si="3"/>
        <v>43251</v>
      </c>
      <c r="H14" s="77">
        <f t="shared" si="3"/>
        <v>43281</v>
      </c>
      <c r="I14" s="77">
        <f t="shared" si="3"/>
        <v>43312</v>
      </c>
      <c r="J14" s="77">
        <f t="shared" si="3"/>
        <v>43343</v>
      </c>
      <c r="K14" s="77">
        <f t="shared" si="3"/>
        <v>43373</v>
      </c>
      <c r="L14" s="77">
        <f t="shared" si="3"/>
        <v>43404</v>
      </c>
      <c r="M14" s="77">
        <f t="shared" si="3"/>
        <v>43434</v>
      </c>
      <c r="N14" s="77">
        <f t="shared" si="3"/>
        <v>43465</v>
      </c>
      <c r="O14" s="77">
        <f t="shared" si="3"/>
        <v>43496</v>
      </c>
      <c r="P14" s="77">
        <f t="shared" si="3"/>
        <v>43524</v>
      </c>
      <c r="Q14" s="77">
        <f t="shared" si="3"/>
        <v>43555</v>
      </c>
      <c r="R14" s="77">
        <f t="shared" si="3"/>
        <v>43585</v>
      </c>
      <c r="S14" s="77">
        <f t="shared" si="3"/>
        <v>43616</v>
      </c>
      <c r="T14" s="77">
        <f t="shared" si="3"/>
        <v>43646</v>
      </c>
      <c r="U14" s="77">
        <f t="shared" si="3"/>
        <v>43677</v>
      </c>
      <c r="V14" s="77">
        <f t="shared" si="3"/>
        <v>43708</v>
      </c>
      <c r="W14" s="77">
        <f t="shared" si="3"/>
        <v>43738</v>
      </c>
      <c r="X14" s="77">
        <f t="shared" si="3"/>
        <v>43769</v>
      </c>
      <c r="Y14" s="77">
        <f t="shared" si="3"/>
        <v>43799</v>
      </c>
      <c r="Z14" s="107">
        <f t="shared" si="3"/>
        <v>43830</v>
      </c>
      <c r="AA14" s="114">
        <v>43861</v>
      </c>
      <c r="AB14" s="149"/>
    </row>
    <row r="15" spans="1:203" x14ac:dyDescent="0.25">
      <c r="A15" s="98" t="s">
        <v>15</v>
      </c>
      <c r="B15" s="78" t="s">
        <v>1</v>
      </c>
      <c r="C15" s="78">
        <v>217.1</v>
      </c>
      <c r="D15" s="78">
        <v>222.7</v>
      </c>
      <c r="E15" s="78">
        <v>225.8</v>
      </c>
      <c r="F15" s="78">
        <v>230.2</v>
      </c>
      <c r="G15" s="78">
        <v>233.9</v>
      </c>
      <c r="H15" s="78">
        <v>235.1</v>
      </c>
      <c r="I15" s="78">
        <v>235.3</v>
      </c>
      <c r="J15" s="78">
        <v>235.8</v>
      </c>
      <c r="K15" s="78">
        <v>237.2</v>
      </c>
      <c r="L15" s="78">
        <v>236.2</v>
      </c>
      <c r="M15" s="78">
        <v>237.5</v>
      </c>
      <c r="N15" s="78">
        <v>236</v>
      </c>
      <c r="O15" s="78">
        <v>235.2</v>
      </c>
      <c r="P15" s="78">
        <v>236.7</v>
      </c>
      <c r="Q15" s="78">
        <v>238.1</v>
      </c>
      <c r="R15" s="78">
        <v>241.4</v>
      </c>
      <c r="S15" s="78">
        <v>240.4</v>
      </c>
      <c r="T15" s="78">
        <v>241.3</v>
      </c>
      <c r="U15" s="78">
        <v>241</v>
      </c>
      <c r="V15" s="78">
        <v>241.8</v>
      </c>
      <c r="W15" s="78">
        <v>245.4</v>
      </c>
      <c r="X15" s="78">
        <v>244.8</v>
      </c>
      <c r="Y15" s="78">
        <v>242.6</v>
      </c>
      <c r="Z15" s="99">
        <v>243</v>
      </c>
      <c r="AA15" s="116">
        <v>241.8</v>
      </c>
      <c r="AB15" s="149"/>
    </row>
    <row r="16" spans="1:203" x14ac:dyDescent="0.25">
      <c r="A16" s="98" t="s">
        <v>15</v>
      </c>
      <c r="B16" s="78" t="s">
        <v>2</v>
      </c>
      <c r="C16" s="78">
        <v>246.7</v>
      </c>
      <c r="D16" s="78">
        <v>251.4</v>
      </c>
      <c r="E16" s="78">
        <v>254.6</v>
      </c>
      <c r="F16" s="78">
        <v>261.2</v>
      </c>
      <c r="G16" s="78">
        <v>269.89999999999998</v>
      </c>
      <c r="H16" s="78">
        <v>268</v>
      </c>
      <c r="I16" s="78">
        <v>270.3</v>
      </c>
      <c r="J16" s="78">
        <v>272.60000000000002</v>
      </c>
      <c r="K16" s="78">
        <v>274.2</v>
      </c>
      <c r="L16" s="78">
        <v>269</v>
      </c>
      <c r="M16" s="78">
        <v>270.10000000000002</v>
      </c>
      <c r="N16" s="78">
        <v>273.7</v>
      </c>
      <c r="O16" s="78">
        <v>273.5</v>
      </c>
      <c r="P16" s="78">
        <v>278.39999999999998</v>
      </c>
      <c r="Q16" s="78">
        <v>274.39999999999998</v>
      </c>
      <c r="R16" s="78">
        <v>279.60000000000002</v>
      </c>
      <c r="S16" s="78">
        <v>280.3</v>
      </c>
      <c r="T16" s="78">
        <v>283.7</v>
      </c>
      <c r="U16" s="78">
        <v>282.10000000000002</v>
      </c>
      <c r="V16" s="78">
        <v>282.3</v>
      </c>
      <c r="W16" s="78">
        <v>278.60000000000002</v>
      </c>
      <c r="X16" s="78">
        <v>279.8</v>
      </c>
      <c r="Y16" s="78">
        <v>276.89999999999998</v>
      </c>
      <c r="Z16" s="99">
        <v>283.89999999999998</v>
      </c>
      <c r="AA16" s="116">
        <v>288.3</v>
      </c>
      <c r="AB16" s="149"/>
    </row>
    <row r="17" spans="1:28" x14ac:dyDescent="0.25">
      <c r="A17" s="98" t="s">
        <v>16</v>
      </c>
      <c r="B17" s="78" t="s">
        <v>1</v>
      </c>
      <c r="C17" s="87">
        <v>471200</v>
      </c>
      <c r="D17" s="88">
        <v>483400</v>
      </c>
      <c r="E17" s="88">
        <v>490100</v>
      </c>
      <c r="F17" s="88">
        <v>499600</v>
      </c>
      <c r="G17" s="88">
        <v>507700</v>
      </c>
      <c r="H17" s="88">
        <v>510300</v>
      </c>
      <c r="I17" s="88">
        <v>510700</v>
      </c>
      <c r="J17" s="88">
        <v>505800</v>
      </c>
      <c r="K17" s="88">
        <v>508800</v>
      </c>
      <c r="L17" s="88">
        <v>508200</v>
      </c>
      <c r="M17" s="88">
        <v>509500</v>
      </c>
      <c r="N17" s="88">
        <v>506300</v>
      </c>
      <c r="O17" s="88">
        <v>504500</v>
      </c>
      <c r="P17" s="88">
        <v>507800</v>
      </c>
      <c r="Q17" s="88">
        <v>510800</v>
      </c>
      <c r="R17" s="88">
        <v>517800</v>
      </c>
      <c r="S17" s="88">
        <v>512500</v>
      </c>
      <c r="T17" s="88">
        <v>514400</v>
      </c>
      <c r="U17" s="88">
        <v>513700</v>
      </c>
      <c r="V17" s="88">
        <v>515400</v>
      </c>
      <c r="W17" s="88">
        <v>523100</v>
      </c>
      <c r="X17" s="88">
        <v>521800</v>
      </c>
      <c r="Y17" s="88">
        <v>517100</v>
      </c>
      <c r="Z17" s="108">
        <v>518000</v>
      </c>
      <c r="AA17" s="121">
        <v>515400</v>
      </c>
      <c r="AB17" s="149"/>
    </row>
    <row r="18" spans="1:28" x14ac:dyDescent="0.25">
      <c r="A18" s="98" t="s">
        <v>16</v>
      </c>
      <c r="B18" s="78" t="s">
        <v>2</v>
      </c>
      <c r="C18" s="89">
        <v>288400</v>
      </c>
      <c r="D18" s="88">
        <v>293900</v>
      </c>
      <c r="E18" s="88">
        <v>297600</v>
      </c>
      <c r="F18" s="88">
        <v>305300</v>
      </c>
      <c r="G18" s="88">
        <v>314000</v>
      </c>
      <c r="H18" s="88">
        <v>313300</v>
      </c>
      <c r="I18" s="88">
        <v>315900</v>
      </c>
      <c r="J18" s="88">
        <v>317700</v>
      </c>
      <c r="K18" s="88">
        <v>319600</v>
      </c>
      <c r="L18" s="88">
        <v>313500</v>
      </c>
      <c r="M18" s="88">
        <v>314800</v>
      </c>
      <c r="N18" s="88">
        <v>319000</v>
      </c>
      <c r="O18" s="88">
        <v>318800</v>
      </c>
      <c r="P18" s="88">
        <v>324500</v>
      </c>
      <c r="Q18" s="88">
        <v>319800</v>
      </c>
      <c r="R18" s="88">
        <v>325900</v>
      </c>
      <c r="S18" s="88">
        <v>300700</v>
      </c>
      <c r="T18" s="88">
        <v>304300</v>
      </c>
      <c r="U18" s="88">
        <v>302600</v>
      </c>
      <c r="V18" s="88">
        <v>302800</v>
      </c>
      <c r="W18" s="88">
        <v>298900</v>
      </c>
      <c r="X18" s="88">
        <v>300200</v>
      </c>
      <c r="Y18" s="88">
        <v>297000</v>
      </c>
      <c r="Z18" s="108">
        <v>304600</v>
      </c>
      <c r="AA18" s="121">
        <v>309300</v>
      </c>
      <c r="AB18" s="149"/>
    </row>
    <row r="19" spans="1:28" x14ac:dyDescent="0.25">
      <c r="A19" s="98" t="s">
        <v>4</v>
      </c>
      <c r="B19" s="78" t="s">
        <v>4</v>
      </c>
      <c r="C19" s="78">
        <v>290</v>
      </c>
      <c r="D19" s="90">
        <v>316</v>
      </c>
      <c r="E19" s="78">
        <v>399</v>
      </c>
      <c r="F19" s="78">
        <v>476</v>
      </c>
      <c r="G19" s="78">
        <v>518</v>
      </c>
      <c r="H19" s="78">
        <v>438</v>
      </c>
      <c r="I19" s="78">
        <v>437</v>
      </c>
      <c r="J19" s="78">
        <v>467</v>
      </c>
      <c r="K19" s="78">
        <v>347</v>
      </c>
      <c r="L19" s="78">
        <v>384</v>
      </c>
      <c r="M19" s="78">
        <v>304</v>
      </c>
      <c r="N19" s="78">
        <v>170</v>
      </c>
      <c r="O19" s="78">
        <v>209</v>
      </c>
      <c r="P19" s="78">
        <v>227</v>
      </c>
      <c r="Q19" s="78">
        <v>308</v>
      </c>
      <c r="R19" s="78">
        <v>412</v>
      </c>
      <c r="S19" s="78">
        <v>459</v>
      </c>
      <c r="T19" s="78">
        <v>408</v>
      </c>
      <c r="U19" s="78">
        <v>453</v>
      </c>
      <c r="V19" s="78">
        <v>413</v>
      </c>
      <c r="W19" s="78">
        <v>345</v>
      </c>
      <c r="X19" s="78">
        <v>342</v>
      </c>
      <c r="Y19" s="78">
        <v>312</v>
      </c>
      <c r="Z19" s="99">
        <v>237</v>
      </c>
      <c r="AA19" s="116">
        <v>174</v>
      </c>
      <c r="AB19" s="149"/>
    </row>
    <row r="20" spans="1:28" x14ac:dyDescent="0.25">
      <c r="A20" s="106" t="s">
        <v>43</v>
      </c>
      <c r="Z20" s="99"/>
      <c r="AA20" s="116"/>
      <c r="AB20" s="149"/>
    </row>
    <row r="21" spans="1:28" x14ac:dyDescent="0.25">
      <c r="A21" s="171" t="s">
        <v>68</v>
      </c>
      <c r="B21" s="172"/>
      <c r="C21" s="77">
        <f t="shared" ref="C21:Z21" si="4">C14</f>
        <v>43131</v>
      </c>
      <c r="D21" s="77">
        <f t="shared" si="4"/>
        <v>43159</v>
      </c>
      <c r="E21" s="77">
        <f t="shared" si="4"/>
        <v>43190</v>
      </c>
      <c r="F21" s="77">
        <f t="shared" si="4"/>
        <v>43220</v>
      </c>
      <c r="G21" s="77">
        <f t="shared" si="4"/>
        <v>43251</v>
      </c>
      <c r="H21" s="77">
        <f t="shared" si="4"/>
        <v>43281</v>
      </c>
      <c r="I21" s="77">
        <f t="shared" si="4"/>
        <v>43312</v>
      </c>
      <c r="J21" s="77">
        <f t="shared" si="4"/>
        <v>43343</v>
      </c>
      <c r="K21" s="77">
        <f t="shared" si="4"/>
        <v>43373</v>
      </c>
      <c r="L21" s="77">
        <f t="shared" si="4"/>
        <v>43404</v>
      </c>
      <c r="M21" s="77">
        <f t="shared" si="4"/>
        <v>43434</v>
      </c>
      <c r="N21" s="77">
        <f t="shared" si="4"/>
        <v>43465</v>
      </c>
      <c r="O21" s="77">
        <f t="shared" si="4"/>
        <v>43496</v>
      </c>
      <c r="P21" s="77">
        <f t="shared" si="4"/>
        <v>43524</v>
      </c>
      <c r="Q21" s="77">
        <f t="shared" si="4"/>
        <v>43555</v>
      </c>
      <c r="R21" s="77">
        <f t="shared" si="4"/>
        <v>43585</v>
      </c>
      <c r="S21" s="77">
        <f t="shared" si="4"/>
        <v>43616</v>
      </c>
      <c r="T21" s="77">
        <f t="shared" si="4"/>
        <v>43646</v>
      </c>
      <c r="U21" s="77">
        <f t="shared" si="4"/>
        <v>43677</v>
      </c>
      <c r="V21" s="77">
        <f t="shared" si="4"/>
        <v>43708</v>
      </c>
      <c r="W21" s="77">
        <f t="shared" si="4"/>
        <v>43738</v>
      </c>
      <c r="X21" s="77">
        <f t="shared" si="4"/>
        <v>43769</v>
      </c>
      <c r="Y21" s="77">
        <f t="shared" si="4"/>
        <v>43799</v>
      </c>
      <c r="Z21" s="107">
        <f t="shared" si="4"/>
        <v>43830</v>
      </c>
      <c r="AA21" s="114">
        <f t="shared" ref="AA21" si="5">AA14</f>
        <v>43861</v>
      </c>
      <c r="AB21" s="149"/>
    </row>
    <row r="22" spans="1:28" x14ac:dyDescent="0.25">
      <c r="A22" s="98" t="s">
        <v>25</v>
      </c>
      <c r="B22" s="78" t="s">
        <v>25</v>
      </c>
      <c r="C22" s="78">
        <v>529</v>
      </c>
      <c r="D22" s="78">
        <v>648</v>
      </c>
      <c r="E22" s="78">
        <v>962</v>
      </c>
      <c r="F22" s="78">
        <v>1006</v>
      </c>
      <c r="G22" s="78">
        <v>1149</v>
      </c>
      <c r="H22" s="78">
        <v>1072</v>
      </c>
      <c r="I22" s="78">
        <v>977</v>
      </c>
      <c r="J22" s="78">
        <v>859</v>
      </c>
      <c r="K22" s="78">
        <v>838</v>
      </c>
      <c r="L22" s="78">
        <v>715</v>
      </c>
      <c r="M22" s="78">
        <v>547</v>
      </c>
      <c r="N22" s="78">
        <v>312</v>
      </c>
      <c r="O22" s="78">
        <v>664</v>
      </c>
      <c r="P22" s="78">
        <v>660</v>
      </c>
      <c r="Q22" s="78">
        <v>898</v>
      </c>
      <c r="R22" s="78">
        <v>1075</v>
      </c>
      <c r="S22" s="78">
        <v>1137</v>
      </c>
      <c r="T22" s="78">
        <v>1072</v>
      </c>
      <c r="U22" s="78">
        <v>976</v>
      </c>
      <c r="V22" s="78">
        <v>859</v>
      </c>
      <c r="W22" s="78">
        <v>838</v>
      </c>
      <c r="X22" s="78">
        <v>640</v>
      </c>
      <c r="Y22" s="78">
        <v>486</v>
      </c>
      <c r="Z22" s="99">
        <v>308</v>
      </c>
      <c r="AA22" s="116" t="s">
        <v>224</v>
      </c>
      <c r="AB22" s="149"/>
    </row>
    <row r="23" spans="1:28" x14ac:dyDescent="0.25">
      <c r="A23" s="98" t="s">
        <v>26</v>
      </c>
      <c r="B23" s="78" t="s">
        <v>26</v>
      </c>
      <c r="C23" s="78">
        <v>1295</v>
      </c>
      <c r="D23" s="78">
        <v>1424</v>
      </c>
      <c r="E23" s="78">
        <v>1771</v>
      </c>
      <c r="F23" s="78">
        <v>1995</v>
      </c>
      <c r="G23" s="78">
        <v>2300</v>
      </c>
      <c r="H23" s="78">
        <v>2494</v>
      </c>
      <c r="I23" s="78">
        <v>2570</v>
      </c>
      <c r="J23" s="78">
        <v>2603</v>
      </c>
      <c r="K23" s="78">
        <v>2583</v>
      </c>
      <c r="L23" s="78">
        <v>2376</v>
      </c>
      <c r="M23" s="78">
        <v>2160</v>
      </c>
      <c r="N23" s="78">
        <v>1829</v>
      </c>
      <c r="O23" s="78">
        <v>1961</v>
      </c>
      <c r="P23" s="78">
        <v>2080</v>
      </c>
      <c r="Q23" s="78">
        <v>2325</v>
      </c>
      <c r="R23" s="78">
        <v>2615</v>
      </c>
      <c r="S23" s="78">
        <v>2845</v>
      </c>
      <c r="T23" s="78">
        <v>2494</v>
      </c>
      <c r="U23" s="78">
        <v>2809</v>
      </c>
      <c r="V23" s="78">
        <v>2754</v>
      </c>
      <c r="W23" s="78">
        <v>2578</v>
      </c>
      <c r="X23" s="80">
        <v>2315</v>
      </c>
      <c r="Y23" s="78">
        <v>2016</v>
      </c>
      <c r="Z23" s="99">
        <v>1697</v>
      </c>
      <c r="AA23" s="116" t="s">
        <v>224</v>
      </c>
      <c r="AB23" s="149"/>
    </row>
    <row r="24" spans="1:28" x14ac:dyDescent="0.25">
      <c r="A24" s="98" t="s">
        <v>27</v>
      </c>
      <c r="B24" s="78" t="s">
        <v>27</v>
      </c>
      <c r="C24" s="78">
        <v>318</v>
      </c>
      <c r="D24" s="78">
        <v>344</v>
      </c>
      <c r="E24" s="78">
        <v>412</v>
      </c>
      <c r="F24" s="78">
        <v>478</v>
      </c>
      <c r="G24" s="78">
        <v>504</v>
      </c>
      <c r="H24" s="78">
        <v>484</v>
      </c>
      <c r="I24" s="78">
        <v>433</v>
      </c>
      <c r="J24" s="78">
        <v>417</v>
      </c>
      <c r="K24" s="78">
        <v>364</v>
      </c>
      <c r="L24" s="78">
        <v>377</v>
      </c>
      <c r="M24" s="78">
        <v>282</v>
      </c>
      <c r="N24" s="78">
        <v>194</v>
      </c>
      <c r="O24" s="78">
        <v>192</v>
      </c>
      <c r="P24" s="78">
        <v>264</v>
      </c>
      <c r="Q24" s="78">
        <v>343</v>
      </c>
      <c r="R24" s="78">
        <v>424</v>
      </c>
      <c r="S24" s="78">
        <v>509</v>
      </c>
      <c r="T24" s="78">
        <v>451</v>
      </c>
      <c r="U24" s="78">
        <v>441</v>
      </c>
      <c r="V24" s="78">
        <v>516</v>
      </c>
      <c r="W24" s="78">
        <v>562</v>
      </c>
      <c r="X24" s="78">
        <v>383</v>
      </c>
      <c r="Y24" s="78">
        <v>371</v>
      </c>
      <c r="Z24" s="99">
        <v>271</v>
      </c>
      <c r="AA24" s="116" t="s">
        <v>224</v>
      </c>
      <c r="AB24" s="149"/>
    </row>
    <row r="25" spans="1:28" x14ac:dyDescent="0.25">
      <c r="A25" s="98" t="s">
        <v>28</v>
      </c>
      <c r="B25" s="78" t="s">
        <v>28</v>
      </c>
      <c r="C25" s="91">
        <v>0.97250000000000003</v>
      </c>
      <c r="D25" s="91">
        <v>0.97930000000000006</v>
      </c>
      <c r="E25" s="91">
        <v>0.98109999999999997</v>
      </c>
      <c r="F25" s="91">
        <v>0.97489999999999999</v>
      </c>
      <c r="G25" s="91">
        <v>0.97729999999999995</v>
      </c>
      <c r="H25" s="91">
        <v>0.97860000000000003</v>
      </c>
      <c r="I25" s="91">
        <v>0.96840000000000004</v>
      </c>
      <c r="J25" s="91">
        <v>0.96840000000000004</v>
      </c>
      <c r="K25" s="91">
        <v>0.9698</v>
      </c>
      <c r="L25" s="91">
        <v>0.96730000000000005</v>
      </c>
      <c r="M25" s="91">
        <v>0.96499999999999997</v>
      </c>
      <c r="N25" s="91">
        <v>0.96340000000000003</v>
      </c>
      <c r="O25" s="91">
        <v>0.96709999999999996</v>
      </c>
      <c r="P25" s="91">
        <v>0.96739999999999993</v>
      </c>
      <c r="Q25" s="91">
        <v>0.97160000000000002</v>
      </c>
      <c r="R25" s="91">
        <v>0.96650000000000003</v>
      </c>
      <c r="S25" s="91">
        <v>0.96809999999999996</v>
      </c>
      <c r="T25" s="91">
        <v>0.97019999999999995</v>
      </c>
      <c r="U25" s="91">
        <v>0.9768</v>
      </c>
      <c r="V25" s="91">
        <v>0.97689999999999999</v>
      </c>
      <c r="W25" s="91">
        <v>0.97599999999999998</v>
      </c>
      <c r="X25" s="91">
        <v>0.9647</v>
      </c>
      <c r="Y25" s="91">
        <v>0.96130000000000004</v>
      </c>
      <c r="Z25" s="128">
        <v>0.96860000000000002</v>
      </c>
      <c r="AA25" s="116" t="s">
        <v>224</v>
      </c>
      <c r="AB25" s="149"/>
    </row>
    <row r="26" spans="1:28" x14ac:dyDescent="0.25">
      <c r="A26" s="98" t="s">
        <v>6</v>
      </c>
      <c r="B26" s="78" t="s">
        <v>6</v>
      </c>
      <c r="C26" s="88">
        <v>546463</v>
      </c>
      <c r="D26" s="88">
        <v>534067</v>
      </c>
      <c r="E26" s="88">
        <v>571678</v>
      </c>
      <c r="F26" s="88">
        <v>586947</v>
      </c>
      <c r="G26" s="88">
        <v>582738</v>
      </c>
      <c r="H26" s="88">
        <v>604168</v>
      </c>
      <c r="I26" s="88">
        <v>641006</v>
      </c>
      <c r="J26" s="88">
        <v>568210</v>
      </c>
      <c r="K26" s="88">
        <v>581818</v>
      </c>
      <c r="L26" s="88">
        <v>541549</v>
      </c>
      <c r="M26" s="88">
        <v>528044</v>
      </c>
      <c r="N26" s="88">
        <v>532755</v>
      </c>
      <c r="O26" s="88">
        <v>512407</v>
      </c>
      <c r="P26" s="88">
        <v>512665</v>
      </c>
      <c r="Q26" s="88">
        <v>539565</v>
      </c>
      <c r="R26" s="88">
        <v>573955</v>
      </c>
      <c r="S26" s="88">
        <v>573926</v>
      </c>
      <c r="T26" s="88">
        <v>571864</v>
      </c>
      <c r="U26" s="88">
        <v>559366</v>
      </c>
      <c r="V26" s="88">
        <v>560980</v>
      </c>
      <c r="W26" s="88">
        <v>566090</v>
      </c>
      <c r="X26" s="88">
        <v>548137</v>
      </c>
      <c r="Y26" s="88">
        <v>615471</v>
      </c>
      <c r="Z26" s="108">
        <v>556127</v>
      </c>
      <c r="AA26" s="116" t="s">
        <v>224</v>
      </c>
      <c r="AB26" s="149"/>
    </row>
    <row r="27" spans="1:28" x14ac:dyDescent="0.25">
      <c r="A27" s="98" t="s">
        <v>29</v>
      </c>
      <c r="B27" s="78" t="s">
        <v>29</v>
      </c>
      <c r="C27" s="88">
        <v>487500</v>
      </c>
      <c r="D27" s="88">
        <v>493250</v>
      </c>
      <c r="E27" s="88">
        <v>545000</v>
      </c>
      <c r="F27" s="88">
        <v>540000</v>
      </c>
      <c r="G27" s="88">
        <v>525000</v>
      </c>
      <c r="H27" s="88">
        <v>546500</v>
      </c>
      <c r="I27" s="88">
        <v>534000</v>
      </c>
      <c r="J27" s="88">
        <v>525000</v>
      </c>
      <c r="K27" s="88">
        <v>537750</v>
      </c>
      <c r="L27" s="88">
        <v>500000</v>
      </c>
      <c r="M27" s="88">
        <v>520000</v>
      </c>
      <c r="N27" s="88">
        <v>516950</v>
      </c>
      <c r="O27" s="88">
        <v>496000</v>
      </c>
      <c r="P27" s="88">
        <v>463195</v>
      </c>
      <c r="Q27" s="88">
        <v>500000</v>
      </c>
      <c r="R27" s="88">
        <v>537750</v>
      </c>
      <c r="S27" s="88">
        <v>537000</v>
      </c>
      <c r="T27" s="88">
        <v>526000</v>
      </c>
      <c r="U27" s="88">
        <v>519900</v>
      </c>
      <c r="V27" s="88">
        <v>519000</v>
      </c>
      <c r="W27" s="88">
        <v>521750</v>
      </c>
      <c r="X27" s="88">
        <v>502000</v>
      </c>
      <c r="Y27" s="88">
        <v>538500</v>
      </c>
      <c r="Z27" s="108">
        <v>502500</v>
      </c>
      <c r="AA27" s="116" t="s">
        <v>224</v>
      </c>
      <c r="AB27" s="149"/>
    </row>
    <row r="28" spans="1:28" x14ac:dyDescent="0.25">
      <c r="A28" s="98" t="s">
        <v>30</v>
      </c>
      <c r="B28" s="78" t="s">
        <v>30</v>
      </c>
      <c r="C28" s="78">
        <v>73</v>
      </c>
      <c r="D28" s="78">
        <v>58</v>
      </c>
      <c r="E28" s="78">
        <v>50</v>
      </c>
      <c r="F28" s="78">
        <v>50</v>
      </c>
      <c r="G28" s="78">
        <v>46</v>
      </c>
      <c r="H28" s="78">
        <v>45</v>
      </c>
      <c r="I28" s="78">
        <v>50</v>
      </c>
      <c r="J28" s="78">
        <v>62</v>
      </c>
      <c r="K28" s="78">
        <v>65</v>
      </c>
      <c r="L28" s="78">
        <v>61</v>
      </c>
      <c r="M28" s="78">
        <v>64</v>
      </c>
      <c r="N28" s="78">
        <v>77</v>
      </c>
      <c r="O28" s="78">
        <v>80</v>
      </c>
      <c r="P28" s="78">
        <v>73</v>
      </c>
      <c r="Q28" s="78">
        <v>67</v>
      </c>
      <c r="R28" s="78">
        <v>68</v>
      </c>
      <c r="S28" s="78">
        <v>59</v>
      </c>
      <c r="T28" s="78">
        <v>81</v>
      </c>
      <c r="U28" s="78">
        <v>65</v>
      </c>
      <c r="V28" s="78">
        <v>65</v>
      </c>
      <c r="W28" s="78">
        <v>66</v>
      </c>
      <c r="X28" s="78">
        <v>76</v>
      </c>
      <c r="Y28" s="78">
        <v>75</v>
      </c>
      <c r="Z28" s="99">
        <v>84</v>
      </c>
      <c r="AA28" s="116" t="s">
        <v>224</v>
      </c>
      <c r="AB28" s="149"/>
    </row>
    <row r="29" spans="1:28" x14ac:dyDescent="0.25">
      <c r="A29" s="106" t="s">
        <v>72</v>
      </c>
      <c r="Z29" s="99"/>
      <c r="AA29" s="116"/>
      <c r="AB29" s="149"/>
    </row>
    <row r="30" spans="1:28" hidden="1" x14ac:dyDescent="0.25">
      <c r="A30" s="177" t="s">
        <v>24</v>
      </c>
      <c r="B30" s="178"/>
      <c r="C30" s="77">
        <f t="shared" ref="C30:Z30" si="6">C21</f>
        <v>43131</v>
      </c>
      <c r="D30" s="77">
        <f t="shared" si="6"/>
        <v>43159</v>
      </c>
      <c r="E30" s="77">
        <f t="shared" si="6"/>
        <v>43190</v>
      </c>
      <c r="F30" s="77">
        <f t="shared" si="6"/>
        <v>43220</v>
      </c>
      <c r="G30" s="77">
        <f t="shared" si="6"/>
        <v>43251</v>
      </c>
      <c r="H30" s="77">
        <f t="shared" si="6"/>
        <v>43281</v>
      </c>
      <c r="I30" s="77">
        <f t="shared" si="6"/>
        <v>43312</v>
      </c>
      <c r="J30" s="77">
        <f t="shared" si="6"/>
        <v>43343</v>
      </c>
      <c r="K30" s="77">
        <f t="shared" si="6"/>
        <v>43373</v>
      </c>
      <c r="L30" s="77">
        <f t="shared" si="6"/>
        <v>43404</v>
      </c>
      <c r="M30" s="77">
        <f t="shared" si="6"/>
        <v>43434</v>
      </c>
      <c r="N30" s="77">
        <f t="shared" si="6"/>
        <v>43465</v>
      </c>
      <c r="O30" s="77">
        <f t="shared" si="6"/>
        <v>43496</v>
      </c>
      <c r="P30" s="77">
        <f t="shared" si="6"/>
        <v>43524</v>
      </c>
      <c r="Q30" s="77">
        <f t="shared" si="6"/>
        <v>43555</v>
      </c>
      <c r="R30" s="77">
        <f t="shared" si="6"/>
        <v>43585</v>
      </c>
      <c r="S30" s="77">
        <f t="shared" si="6"/>
        <v>43616</v>
      </c>
      <c r="T30" s="77">
        <f t="shared" si="6"/>
        <v>43646</v>
      </c>
      <c r="U30" s="77">
        <f t="shared" si="6"/>
        <v>43677</v>
      </c>
      <c r="V30" s="77">
        <f t="shared" si="6"/>
        <v>43708</v>
      </c>
      <c r="W30" s="77">
        <f t="shared" si="6"/>
        <v>43738</v>
      </c>
      <c r="X30" s="77">
        <f t="shared" si="6"/>
        <v>43769</v>
      </c>
      <c r="Y30" s="77">
        <f t="shared" si="6"/>
        <v>43799</v>
      </c>
      <c r="Z30" s="107">
        <f t="shared" si="6"/>
        <v>43830</v>
      </c>
      <c r="AA30" s="114">
        <f>AA21</f>
        <v>43861</v>
      </c>
      <c r="AB30" s="149"/>
    </row>
    <row r="31" spans="1:28" hidden="1" x14ac:dyDescent="0.25">
      <c r="A31" s="98" t="s">
        <v>25</v>
      </c>
      <c r="B31" s="78" t="s">
        <v>25</v>
      </c>
      <c r="C31" s="78">
        <v>71</v>
      </c>
      <c r="D31" s="78">
        <v>104</v>
      </c>
      <c r="E31" s="78">
        <v>141</v>
      </c>
      <c r="F31" s="78">
        <v>219</v>
      </c>
      <c r="G31" s="78">
        <v>268</v>
      </c>
      <c r="H31" s="78">
        <v>214</v>
      </c>
      <c r="I31" s="78">
        <v>169</v>
      </c>
      <c r="J31" s="78">
        <v>163</v>
      </c>
      <c r="K31" s="78">
        <v>103</v>
      </c>
      <c r="Z31" s="99"/>
      <c r="AA31" s="116"/>
      <c r="AB31" s="149"/>
    </row>
    <row r="32" spans="1:28" hidden="1" x14ac:dyDescent="0.25">
      <c r="A32" s="98" t="s">
        <v>26</v>
      </c>
      <c r="B32" s="78" t="s">
        <v>26</v>
      </c>
      <c r="C32" s="78">
        <v>359</v>
      </c>
      <c r="D32" s="78">
        <v>397</v>
      </c>
      <c r="E32" s="78">
        <v>442</v>
      </c>
      <c r="F32" s="78">
        <v>538</v>
      </c>
      <c r="G32" s="78">
        <v>663</v>
      </c>
      <c r="H32" s="78">
        <v>701</v>
      </c>
      <c r="I32" s="78">
        <v>707</v>
      </c>
      <c r="J32" s="78">
        <v>690</v>
      </c>
      <c r="K32" s="78">
        <v>624</v>
      </c>
      <c r="Z32" s="99"/>
      <c r="AA32" s="116"/>
      <c r="AB32" s="149"/>
    </row>
    <row r="33" spans="1:28" hidden="1" x14ac:dyDescent="0.25">
      <c r="A33" s="98" t="s">
        <v>27</v>
      </c>
      <c r="B33" s="78" t="s">
        <v>27</v>
      </c>
      <c r="C33" s="78">
        <v>41</v>
      </c>
      <c r="D33" s="78">
        <v>40</v>
      </c>
      <c r="E33" s="78">
        <v>62</v>
      </c>
      <c r="F33" s="78">
        <v>99</v>
      </c>
      <c r="G33" s="78">
        <v>190</v>
      </c>
      <c r="H33" s="78">
        <v>144</v>
      </c>
      <c r="I33" s="78">
        <v>122</v>
      </c>
      <c r="J33" s="78">
        <v>118</v>
      </c>
      <c r="K33" s="78">
        <v>87</v>
      </c>
      <c r="Z33" s="99"/>
      <c r="AA33" s="116"/>
      <c r="AB33" s="149"/>
    </row>
    <row r="34" spans="1:28" hidden="1" x14ac:dyDescent="0.25">
      <c r="A34" s="98" t="s">
        <v>28</v>
      </c>
      <c r="B34" s="78" t="s">
        <v>28</v>
      </c>
      <c r="C34" s="91">
        <v>0.97230000000000005</v>
      </c>
      <c r="D34" s="91">
        <v>0.96379999999999999</v>
      </c>
      <c r="E34" s="91">
        <v>0.96379999999999999</v>
      </c>
      <c r="F34" s="91">
        <v>0.97419999999999995</v>
      </c>
      <c r="G34" s="91">
        <v>0.96719999999999995</v>
      </c>
      <c r="H34" s="91">
        <v>0.96920000000000006</v>
      </c>
      <c r="I34" s="91">
        <v>0.95739999999999992</v>
      </c>
      <c r="J34" s="91">
        <v>0.96709999999999996</v>
      </c>
      <c r="K34" s="91">
        <v>0.9595999999999999</v>
      </c>
      <c r="Z34" s="99"/>
      <c r="AA34" s="116"/>
      <c r="AB34" s="149"/>
    </row>
    <row r="35" spans="1:28" hidden="1" x14ac:dyDescent="0.25">
      <c r="A35" s="98" t="s">
        <v>6</v>
      </c>
      <c r="B35" s="78" t="s">
        <v>6</v>
      </c>
      <c r="C35" s="88">
        <v>411932</v>
      </c>
      <c r="D35" s="88">
        <v>483504</v>
      </c>
      <c r="E35" s="88">
        <v>452260</v>
      </c>
      <c r="F35" s="88">
        <v>430918</v>
      </c>
      <c r="G35" s="88">
        <v>421724</v>
      </c>
      <c r="H35" s="88">
        <v>393809</v>
      </c>
      <c r="I35" s="88">
        <v>456177</v>
      </c>
      <c r="J35" s="88">
        <v>411577</v>
      </c>
      <c r="K35" s="88">
        <v>412563</v>
      </c>
      <c r="Z35" s="99"/>
      <c r="AA35" s="116"/>
      <c r="AB35" s="149"/>
    </row>
    <row r="36" spans="1:28" hidden="1" x14ac:dyDescent="0.25">
      <c r="A36" s="98" t="s">
        <v>29</v>
      </c>
      <c r="B36" s="78" t="s">
        <v>29</v>
      </c>
      <c r="C36" s="88">
        <v>387500</v>
      </c>
      <c r="D36" s="88">
        <v>432200</v>
      </c>
      <c r="E36" s="88">
        <v>421475</v>
      </c>
      <c r="F36" s="88">
        <v>420500</v>
      </c>
      <c r="G36" s="88">
        <v>408500</v>
      </c>
      <c r="H36" s="88">
        <v>371000</v>
      </c>
      <c r="I36" s="88">
        <v>450000</v>
      </c>
      <c r="J36" s="88">
        <v>395500</v>
      </c>
      <c r="K36" s="88">
        <v>380000</v>
      </c>
      <c r="Z36" s="99"/>
      <c r="AA36" s="116"/>
      <c r="AB36" s="149"/>
    </row>
    <row r="37" spans="1:28" hidden="1" x14ac:dyDescent="0.25">
      <c r="A37" s="98" t="s">
        <v>30</v>
      </c>
      <c r="B37" s="78" t="s">
        <v>30</v>
      </c>
      <c r="C37" s="78">
        <v>122</v>
      </c>
      <c r="D37" s="78">
        <v>108</v>
      </c>
      <c r="E37" s="78">
        <v>109</v>
      </c>
      <c r="F37" s="78">
        <v>95</v>
      </c>
      <c r="G37" s="78">
        <v>88</v>
      </c>
      <c r="H37" s="78">
        <v>74</v>
      </c>
      <c r="I37" s="78">
        <v>71</v>
      </c>
      <c r="J37" s="78">
        <v>89</v>
      </c>
      <c r="K37" s="78">
        <v>117</v>
      </c>
      <c r="Z37" s="99"/>
      <c r="AA37" s="116"/>
      <c r="AB37" s="149"/>
    </row>
    <row r="38" spans="1:28" hidden="1" x14ac:dyDescent="0.25">
      <c r="A38" s="106" t="s">
        <v>67</v>
      </c>
      <c r="Z38" s="99"/>
      <c r="AA38" s="116"/>
      <c r="AB38" s="149"/>
    </row>
    <row r="39" spans="1:28" x14ac:dyDescent="0.25">
      <c r="A39" s="177" t="s">
        <v>34</v>
      </c>
      <c r="B39" s="178"/>
      <c r="C39" s="77">
        <f t="shared" ref="C39:Z39" si="7">C30</f>
        <v>43131</v>
      </c>
      <c r="D39" s="77">
        <f t="shared" si="7"/>
        <v>43159</v>
      </c>
      <c r="E39" s="77">
        <f t="shared" si="7"/>
        <v>43190</v>
      </c>
      <c r="F39" s="77">
        <f t="shared" si="7"/>
        <v>43220</v>
      </c>
      <c r="G39" s="77">
        <f t="shared" si="7"/>
        <v>43251</v>
      </c>
      <c r="H39" s="77">
        <f t="shared" si="7"/>
        <v>43281</v>
      </c>
      <c r="I39" s="77">
        <f t="shared" si="7"/>
        <v>43312</v>
      </c>
      <c r="J39" s="77">
        <f t="shared" si="7"/>
        <v>43343</v>
      </c>
      <c r="K39" s="77">
        <f t="shared" si="7"/>
        <v>43373</v>
      </c>
      <c r="L39" s="77">
        <f t="shared" si="7"/>
        <v>43404</v>
      </c>
      <c r="M39" s="77">
        <f t="shared" si="7"/>
        <v>43434</v>
      </c>
      <c r="N39" s="77">
        <f t="shared" si="7"/>
        <v>43465</v>
      </c>
      <c r="O39" s="77">
        <f t="shared" si="7"/>
        <v>43496</v>
      </c>
      <c r="P39" s="77">
        <f t="shared" si="7"/>
        <v>43524</v>
      </c>
      <c r="Q39" s="77">
        <f t="shared" si="7"/>
        <v>43555</v>
      </c>
      <c r="R39" s="77">
        <f t="shared" si="7"/>
        <v>43585</v>
      </c>
      <c r="S39" s="77">
        <f t="shared" si="7"/>
        <v>43616</v>
      </c>
      <c r="T39" s="77">
        <f t="shared" si="7"/>
        <v>43646</v>
      </c>
      <c r="U39" s="77">
        <f t="shared" si="7"/>
        <v>43677</v>
      </c>
      <c r="V39" s="77">
        <f t="shared" si="7"/>
        <v>43708</v>
      </c>
      <c r="W39" s="77">
        <f t="shared" si="7"/>
        <v>43738</v>
      </c>
      <c r="X39" s="77">
        <f t="shared" si="7"/>
        <v>43769</v>
      </c>
      <c r="Y39" s="77">
        <f t="shared" si="7"/>
        <v>43799</v>
      </c>
      <c r="Z39" s="107">
        <f t="shared" si="7"/>
        <v>43830</v>
      </c>
      <c r="AA39" s="114">
        <v>43861</v>
      </c>
      <c r="AB39" s="149"/>
    </row>
    <row r="40" spans="1:28" x14ac:dyDescent="0.25">
      <c r="A40" s="109"/>
      <c r="B40" s="78" t="s">
        <v>34</v>
      </c>
      <c r="Z40" s="99"/>
      <c r="AA40" s="116"/>
      <c r="AB40" s="149"/>
    </row>
    <row r="41" spans="1:28" x14ac:dyDescent="0.25">
      <c r="A41" s="110" t="s">
        <v>3</v>
      </c>
      <c r="B41" s="78" t="s">
        <v>35</v>
      </c>
      <c r="C41" s="78">
        <v>1739</v>
      </c>
      <c r="D41" s="78">
        <v>1838</v>
      </c>
      <c r="E41" s="78">
        <v>1990</v>
      </c>
      <c r="F41" s="78">
        <v>2415</v>
      </c>
      <c r="G41" s="78">
        <v>2867</v>
      </c>
      <c r="H41" s="78">
        <v>3076</v>
      </c>
      <c r="I41" s="78">
        <v>3117</v>
      </c>
      <c r="J41" s="78">
        <v>2988</v>
      </c>
      <c r="K41" s="78">
        <v>3076</v>
      </c>
      <c r="L41" s="78">
        <v>3037</v>
      </c>
      <c r="M41" s="78">
        <v>2768</v>
      </c>
      <c r="N41" s="78">
        <v>1954</v>
      </c>
      <c r="O41" s="78">
        <v>2207</v>
      </c>
      <c r="P41" s="78">
        <v>2295</v>
      </c>
      <c r="Q41" s="78">
        <v>2507</v>
      </c>
      <c r="R41" s="78">
        <v>2924</v>
      </c>
      <c r="S41" s="78">
        <v>3231</v>
      </c>
      <c r="T41" s="78">
        <v>3306</v>
      </c>
      <c r="U41" s="78">
        <v>3200</v>
      </c>
      <c r="V41" s="78">
        <v>3061</v>
      </c>
      <c r="W41" s="78">
        <v>2992</v>
      </c>
      <c r="X41" s="80">
        <v>2723</v>
      </c>
      <c r="Y41" s="78">
        <v>2393</v>
      </c>
      <c r="Z41" s="99">
        <v>1593</v>
      </c>
      <c r="AA41" s="116">
        <v>1744</v>
      </c>
      <c r="AB41" s="149"/>
    </row>
    <row r="42" spans="1:28" x14ac:dyDescent="0.25">
      <c r="A42" s="110" t="s">
        <v>3</v>
      </c>
      <c r="B42" s="78" t="s">
        <v>2</v>
      </c>
      <c r="C42" s="78">
        <v>420</v>
      </c>
      <c r="D42" s="78">
        <v>504</v>
      </c>
      <c r="E42" s="78">
        <v>649</v>
      </c>
      <c r="F42" s="78">
        <v>809</v>
      </c>
      <c r="G42" s="78">
        <v>1010</v>
      </c>
      <c r="H42" s="78">
        <v>1128</v>
      </c>
      <c r="I42" s="78">
        <v>1242</v>
      </c>
      <c r="J42" s="78">
        <v>1291</v>
      </c>
      <c r="K42" s="78">
        <v>1431</v>
      </c>
      <c r="L42" s="78">
        <v>1506</v>
      </c>
      <c r="M42" s="78">
        <v>1445</v>
      </c>
      <c r="N42" s="78">
        <v>1121</v>
      </c>
      <c r="O42" s="78">
        <v>1272</v>
      </c>
      <c r="P42" s="78">
        <v>1339</v>
      </c>
      <c r="Q42" s="78">
        <v>1454</v>
      </c>
      <c r="R42" s="78">
        <v>1602</v>
      </c>
      <c r="S42" s="78">
        <v>1666</v>
      </c>
      <c r="T42" s="78">
        <v>1610</v>
      </c>
      <c r="U42" s="78">
        <v>1537</v>
      </c>
      <c r="V42" s="78">
        <v>1454</v>
      </c>
      <c r="W42" s="78">
        <v>1487</v>
      </c>
      <c r="X42" s="80">
        <v>1417</v>
      </c>
      <c r="Y42" s="78">
        <v>1272</v>
      </c>
      <c r="Z42" s="99">
        <v>889</v>
      </c>
      <c r="AA42" s="116">
        <v>1024</v>
      </c>
      <c r="AB42" s="149"/>
    </row>
    <row r="43" spans="1:28" x14ac:dyDescent="0.25">
      <c r="A43" s="110" t="s">
        <v>4</v>
      </c>
      <c r="B43" s="78" t="s">
        <v>35</v>
      </c>
      <c r="C43" s="78">
        <v>446</v>
      </c>
      <c r="D43" s="78">
        <v>522</v>
      </c>
      <c r="E43" s="78">
        <v>620</v>
      </c>
      <c r="F43" s="78">
        <v>601</v>
      </c>
      <c r="G43" s="78">
        <v>658</v>
      </c>
      <c r="H43" s="78">
        <v>529</v>
      </c>
      <c r="I43" s="78">
        <v>469</v>
      </c>
      <c r="J43" s="78">
        <v>433</v>
      </c>
      <c r="K43" s="78">
        <v>376</v>
      </c>
      <c r="L43" s="78">
        <v>438</v>
      </c>
      <c r="M43" s="78">
        <v>383</v>
      </c>
      <c r="N43" s="78">
        <v>271</v>
      </c>
      <c r="O43" s="78">
        <v>250</v>
      </c>
      <c r="P43" s="78">
        <v>354</v>
      </c>
      <c r="Q43" s="78">
        <v>462</v>
      </c>
      <c r="R43" s="78">
        <v>489</v>
      </c>
      <c r="S43" s="78">
        <v>562</v>
      </c>
      <c r="T43" s="78">
        <v>504</v>
      </c>
      <c r="U43" s="78">
        <v>557</v>
      </c>
      <c r="V43" s="78">
        <v>511</v>
      </c>
      <c r="W43" s="78">
        <v>521</v>
      </c>
      <c r="X43" s="78">
        <v>609</v>
      </c>
      <c r="Y43" s="78">
        <v>514</v>
      </c>
      <c r="Z43" s="99">
        <v>463</v>
      </c>
      <c r="AA43" s="116">
        <v>363</v>
      </c>
      <c r="AB43" s="149"/>
    </row>
    <row r="44" spans="1:28" x14ac:dyDescent="0.25">
      <c r="A44" s="110" t="s">
        <v>4</v>
      </c>
      <c r="B44" s="78" t="s">
        <v>2</v>
      </c>
      <c r="C44" s="78">
        <v>338</v>
      </c>
      <c r="D44" s="78">
        <v>379</v>
      </c>
      <c r="E44" s="78">
        <v>460</v>
      </c>
      <c r="F44" s="78">
        <v>496</v>
      </c>
      <c r="G44" s="78">
        <v>516</v>
      </c>
      <c r="H44" s="78">
        <v>392</v>
      </c>
      <c r="I44" s="78">
        <v>337</v>
      </c>
      <c r="J44" s="78">
        <v>318</v>
      </c>
      <c r="K44" s="78">
        <v>274</v>
      </c>
      <c r="L44" s="78">
        <v>292</v>
      </c>
      <c r="M44" s="78">
        <v>286</v>
      </c>
      <c r="N44" s="78">
        <v>213</v>
      </c>
      <c r="O44" s="78">
        <v>257</v>
      </c>
      <c r="P44" s="78">
        <v>288</v>
      </c>
      <c r="Q44" s="78">
        <v>346</v>
      </c>
      <c r="R44" s="78">
        <v>374</v>
      </c>
      <c r="S44" s="78">
        <v>396</v>
      </c>
      <c r="T44" s="78">
        <v>329</v>
      </c>
      <c r="U44" s="78">
        <v>344</v>
      </c>
      <c r="V44" s="78">
        <v>331</v>
      </c>
      <c r="W44" s="78">
        <v>361</v>
      </c>
      <c r="X44" s="78">
        <v>415</v>
      </c>
      <c r="Y44" s="78">
        <v>373</v>
      </c>
      <c r="Z44" s="99">
        <v>313</v>
      </c>
      <c r="AA44" s="116">
        <v>248</v>
      </c>
      <c r="AB44" s="149"/>
    </row>
    <row r="45" spans="1:28" x14ac:dyDescent="0.25">
      <c r="A45" s="110" t="s">
        <v>5</v>
      </c>
      <c r="B45" s="78" t="s">
        <v>35</v>
      </c>
      <c r="C45" s="82">
        <f t="shared" ref="C45:Q46" si="8">C43/C41</f>
        <v>0.25646923519263942</v>
      </c>
      <c r="D45" s="82">
        <f t="shared" si="8"/>
        <v>0.2840043525571273</v>
      </c>
      <c r="E45" s="82">
        <f t="shared" si="8"/>
        <v>0.31155778894472363</v>
      </c>
      <c r="F45" s="82">
        <f t="shared" si="8"/>
        <v>0.24886128364389234</v>
      </c>
      <c r="G45" s="82">
        <f t="shared" si="8"/>
        <v>0.22950819672131148</v>
      </c>
      <c r="H45" s="82">
        <f t="shared" si="8"/>
        <v>0.17197659297789336</v>
      </c>
      <c r="I45" s="82">
        <f t="shared" si="8"/>
        <v>0.15046519088867502</v>
      </c>
      <c r="J45" s="82">
        <f t="shared" si="8"/>
        <v>0.14491298527443106</v>
      </c>
      <c r="K45" s="82">
        <f t="shared" si="8"/>
        <v>0.1222366710013004</v>
      </c>
      <c r="L45" s="82">
        <f t="shared" si="8"/>
        <v>0.14422127099110965</v>
      </c>
      <c r="M45" s="82">
        <f t="shared" si="8"/>
        <v>0.13836705202312138</v>
      </c>
      <c r="N45" s="82">
        <f t="shared" si="8"/>
        <v>0.13868986693961105</v>
      </c>
      <c r="O45" s="82">
        <f t="shared" si="8"/>
        <v>0.11327594019030358</v>
      </c>
      <c r="P45" s="82">
        <f t="shared" si="8"/>
        <v>0.1542483660130719</v>
      </c>
      <c r="Q45" s="82">
        <f t="shared" si="8"/>
        <v>0.18428400478659754</v>
      </c>
      <c r="R45" s="82">
        <f t="shared" ref="R45:Z45" si="9">R43/R41</f>
        <v>0.16723666210670315</v>
      </c>
      <c r="S45" s="82">
        <f t="shared" si="9"/>
        <v>0.1739399566697617</v>
      </c>
      <c r="T45" s="82">
        <f t="shared" si="9"/>
        <v>0.15245009074410162</v>
      </c>
      <c r="U45" s="82">
        <f t="shared" si="9"/>
        <v>0.17406250000000001</v>
      </c>
      <c r="V45" s="82">
        <f t="shared" si="9"/>
        <v>0.16693890885331591</v>
      </c>
      <c r="W45" s="82">
        <f t="shared" si="9"/>
        <v>0.17413101604278075</v>
      </c>
      <c r="X45" s="82">
        <f t="shared" si="9"/>
        <v>0.2236503856041131</v>
      </c>
      <c r="Y45" s="82">
        <f t="shared" si="9"/>
        <v>0.21479314667781027</v>
      </c>
      <c r="Z45" s="101">
        <f t="shared" si="9"/>
        <v>0.29064657878217198</v>
      </c>
      <c r="AA45" s="118">
        <f>AA43/AA41</f>
        <v>0.20814220183486237</v>
      </c>
      <c r="AB45" s="149"/>
    </row>
    <row r="46" spans="1:28" x14ac:dyDescent="0.25">
      <c r="A46" s="110" t="s">
        <v>5</v>
      </c>
      <c r="B46" s="78" t="s">
        <v>2</v>
      </c>
      <c r="C46" s="82">
        <f t="shared" si="8"/>
        <v>0.80476190476190479</v>
      </c>
      <c r="D46" s="82">
        <f t="shared" si="8"/>
        <v>0.75198412698412698</v>
      </c>
      <c r="E46" s="82">
        <f t="shared" si="8"/>
        <v>0.70878274268104779</v>
      </c>
      <c r="F46" s="82">
        <f t="shared" si="8"/>
        <v>0.61310259579728055</v>
      </c>
      <c r="G46" s="82">
        <f t="shared" si="8"/>
        <v>0.5108910891089109</v>
      </c>
      <c r="H46" s="82">
        <f t="shared" si="8"/>
        <v>0.3475177304964539</v>
      </c>
      <c r="I46" s="82">
        <f t="shared" si="8"/>
        <v>0.27133655394524958</v>
      </c>
      <c r="J46" s="82">
        <f t="shared" si="8"/>
        <v>0.24632068164213788</v>
      </c>
      <c r="K46" s="82">
        <f t="shared" si="8"/>
        <v>0.1914744933612858</v>
      </c>
      <c r="L46" s="82">
        <f t="shared" si="8"/>
        <v>0.19389110225763612</v>
      </c>
      <c r="M46" s="82">
        <f t="shared" si="8"/>
        <v>0.19792387543252596</v>
      </c>
      <c r="N46" s="82">
        <f t="shared" si="8"/>
        <v>0.19000892060660124</v>
      </c>
      <c r="O46" s="82">
        <f t="shared" si="8"/>
        <v>0.20204402515723272</v>
      </c>
      <c r="P46" s="82">
        <f t="shared" si="8"/>
        <v>0.2150858849887976</v>
      </c>
      <c r="Q46" s="82">
        <f t="shared" si="8"/>
        <v>0.23796423658872076</v>
      </c>
      <c r="R46" s="82">
        <f t="shared" ref="R46:Z46" si="10">R44/R42</f>
        <v>0.23345817727840198</v>
      </c>
      <c r="S46" s="82">
        <f t="shared" si="10"/>
        <v>0.23769507803121248</v>
      </c>
      <c r="T46" s="82">
        <f t="shared" si="10"/>
        <v>0.20434782608695654</v>
      </c>
      <c r="U46" s="82">
        <f t="shared" si="10"/>
        <v>0.22381262199089136</v>
      </c>
      <c r="V46" s="82">
        <f t="shared" si="10"/>
        <v>0.22764786795048142</v>
      </c>
      <c r="W46" s="82">
        <f t="shared" si="10"/>
        <v>0.24277067921990586</v>
      </c>
      <c r="X46" s="82">
        <f t="shared" si="10"/>
        <v>0.29287226534932959</v>
      </c>
      <c r="Y46" s="82">
        <f t="shared" si="10"/>
        <v>0.29323899371069184</v>
      </c>
      <c r="Z46" s="101">
        <f t="shared" si="10"/>
        <v>0.35208098987626546</v>
      </c>
      <c r="AA46" s="118">
        <f>AA44/AA42</f>
        <v>0.2421875</v>
      </c>
      <c r="AB46" s="149"/>
    </row>
    <row r="47" spans="1:28" x14ac:dyDescent="0.25">
      <c r="A47" s="110" t="s">
        <v>29</v>
      </c>
      <c r="B47" s="78" t="s">
        <v>35</v>
      </c>
      <c r="C47" s="88">
        <v>942500</v>
      </c>
      <c r="D47" s="88">
        <v>957737</v>
      </c>
      <c r="E47" s="88">
        <v>960000</v>
      </c>
      <c r="F47" s="88">
        <v>981000</v>
      </c>
      <c r="G47" s="88">
        <v>961675</v>
      </c>
      <c r="H47" s="88">
        <v>980000</v>
      </c>
      <c r="I47" s="88">
        <v>975000</v>
      </c>
      <c r="J47" s="88">
        <v>935000</v>
      </c>
      <c r="K47" s="88">
        <v>933000</v>
      </c>
      <c r="L47" s="88">
        <v>920000</v>
      </c>
      <c r="M47" s="88">
        <v>920000</v>
      </c>
      <c r="N47" s="88">
        <v>920000</v>
      </c>
      <c r="O47" s="88">
        <v>900000</v>
      </c>
      <c r="P47" s="88">
        <v>935000</v>
      </c>
      <c r="Q47" s="88">
        <v>930000</v>
      </c>
      <c r="R47" s="88">
        <v>932000</v>
      </c>
      <c r="S47" s="88">
        <v>925500</v>
      </c>
      <c r="T47" s="88">
        <v>937250</v>
      </c>
      <c r="U47" s="88">
        <v>909900</v>
      </c>
      <c r="V47" s="88">
        <v>920000</v>
      </c>
      <c r="W47" s="88">
        <v>936900</v>
      </c>
      <c r="X47" s="88">
        <v>925000</v>
      </c>
      <c r="Y47" s="88">
        <v>947000</v>
      </c>
      <c r="Z47" s="108">
        <v>970000</v>
      </c>
      <c r="AA47" s="121">
        <v>968000</v>
      </c>
      <c r="AB47" s="149"/>
    </row>
    <row r="48" spans="1:28" x14ac:dyDescent="0.25">
      <c r="A48" s="110" t="str">
        <f>A47</f>
        <v>Median Sales Price</v>
      </c>
      <c r="B48" s="78" t="s">
        <v>2</v>
      </c>
      <c r="C48" s="88">
        <v>370150</v>
      </c>
      <c r="D48" s="88">
        <v>385000</v>
      </c>
      <c r="E48" s="88">
        <v>390000</v>
      </c>
      <c r="F48" s="88">
        <v>399844</v>
      </c>
      <c r="G48" s="88">
        <v>400000</v>
      </c>
      <c r="H48" s="88">
        <v>395000</v>
      </c>
      <c r="I48" s="88">
        <v>385000</v>
      </c>
      <c r="J48" s="88">
        <v>390000</v>
      </c>
      <c r="K48" s="88">
        <v>385000</v>
      </c>
      <c r="L48" s="88">
        <v>380000</v>
      </c>
      <c r="M48" s="88">
        <v>379500</v>
      </c>
      <c r="N48" s="88">
        <v>360000</v>
      </c>
      <c r="O48" s="88">
        <v>372000</v>
      </c>
      <c r="P48" s="88">
        <v>380000</v>
      </c>
      <c r="Q48" s="88">
        <v>385000</v>
      </c>
      <c r="R48" s="88">
        <v>365000</v>
      </c>
      <c r="S48" s="88">
        <v>369500</v>
      </c>
      <c r="T48" s="88">
        <v>380000</v>
      </c>
      <c r="U48" s="88">
        <v>375000</v>
      </c>
      <c r="V48" s="88">
        <v>362000</v>
      </c>
      <c r="W48" s="88">
        <v>370000</v>
      </c>
      <c r="X48" s="88">
        <v>366000</v>
      </c>
      <c r="Y48" s="88">
        <v>368000</v>
      </c>
      <c r="Z48" s="108">
        <v>380000</v>
      </c>
      <c r="AA48" s="121">
        <v>371750</v>
      </c>
      <c r="AB48" s="149"/>
    </row>
    <row r="49" spans="1:28" x14ac:dyDescent="0.25">
      <c r="A49" s="110" t="s">
        <v>36</v>
      </c>
      <c r="B49" s="78" t="s">
        <v>35</v>
      </c>
      <c r="C49" s="78">
        <v>825</v>
      </c>
      <c r="D49" s="78">
        <v>911</v>
      </c>
      <c r="E49" s="78">
        <v>1152</v>
      </c>
      <c r="F49" s="78">
        <v>1441</v>
      </c>
      <c r="G49" s="78">
        <v>1670</v>
      </c>
      <c r="H49" s="78">
        <v>1319</v>
      </c>
      <c r="I49" s="78">
        <v>1157</v>
      </c>
      <c r="J49" s="78">
        <v>969</v>
      </c>
      <c r="K49" s="78">
        <v>1186</v>
      </c>
      <c r="L49" s="78">
        <v>1060</v>
      </c>
      <c r="M49" s="78">
        <v>740</v>
      </c>
      <c r="N49" s="78">
        <v>309</v>
      </c>
      <c r="O49" s="78">
        <v>995</v>
      </c>
      <c r="P49" s="78">
        <v>768</v>
      </c>
      <c r="Q49" s="78">
        <v>1097</v>
      </c>
      <c r="R49" s="78">
        <v>1361</v>
      </c>
      <c r="S49" s="78">
        <v>1410</v>
      </c>
      <c r="T49" s="78">
        <v>1178</v>
      </c>
      <c r="U49" s="78">
        <v>1067</v>
      </c>
      <c r="V49" s="78">
        <v>939</v>
      </c>
      <c r="W49" s="78">
        <v>1088</v>
      </c>
      <c r="X49" s="78">
        <v>896</v>
      </c>
      <c r="Y49" s="78">
        <v>634</v>
      </c>
      <c r="Z49" s="99">
        <v>315</v>
      </c>
      <c r="AA49" s="116">
        <v>792</v>
      </c>
      <c r="AB49" s="149"/>
    </row>
    <row r="50" spans="1:28" x14ac:dyDescent="0.25">
      <c r="A50" s="110" t="str">
        <f>A49</f>
        <v>New listings</v>
      </c>
      <c r="B50" s="78" t="s">
        <v>2</v>
      </c>
      <c r="C50" s="78">
        <v>453</v>
      </c>
      <c r="D50" s="78">
        <v>519</v>
      </c>
      <c r="E50" s="78">
        <v>684</v>
      </c>
      <c r="F50" s="78">
        <v>785</v>
      </c>
      <c r="G50" s="78">
        <v>873</v>
      </c>
      <c r="H50" s="78">
        <v>696</v>
      </c>
      <c r="I50" s="78">
        <v>695</v>
      </c>
      <c r="J50" s="78">
        <v>637</v>
      </c>
      <c r="K50" s="78">
        <v>702</v>
      </c>
      <c r="L50" s="78">
        <v>684</v>
      </c>
      <c r="M50" s="78">
        <v>524</v>
      </c>
      <c r="N50" s="78">
        <v>260</v>
      </c>
      <c r="O50" s="78">
        <v>675</v>
      </c>
      <c r="P50" s="78">
        <v>589</v>
      </c>
      <c r="Q50" s="78">
        <v>697</v>
      </c>
      <c r="R50" s="78">
        <v>764</v>
      </c>
      <c r="S50" s="78">
        <v>764</v>
      </c>
      <c r="T50" s="78">
        <v>597</v>
      </c>
      <c r="U50" s="78">
        <v>624</v>
      </c>
      <c r="V50" s="78">
        <v>506</v>
      </c>
      <c r="W50" s="78">
        <v>681</v>
      </c>
      <c r="X50" s="78">
        <v>598</v>
      </c>
      <c r="Y50" s="78">
        <v>439</v>
      </c>
      <c r="Z50" s="99">
        <v>241</v>
      </c>
      <c r="AA50" s="116">
        <v>523</v>
      </c>
      <c r="AB50" s="149"/>
    </row>
    <row r="51" spans="1:28" x14ac:dyDescent="0.25">
      <c r="A51" s="106" t="s">
        <v>37</v>
      </c>
      <c r="Z51" s="99"/>
      <c r="AA51" s="116"/>
      <c r="AB51" s="149"/>
    </row>
    <row r="52" spans="1:28" x14ac:dyDescent="0.25">
      <c r="A52" s="98"/>
      <c r="Z52" s="99"/>
      <c r="AA52" s="116"/>
      <c r="AB52" s="149"/>
    </row>
    <row r="53" spans="1:28" x14ac:dyDescent="0.25">
      <c r="A53" s="171" t="s">
        <v>66</v>
      </c>
      <c r="B53" s="172"/>
      <c r="C53" s="77">
        <f t="shared" ref="C53:Z53" si="11">C39</f>
        <v>43131</v>
      </c>
      <c r="D53" s="77">
        <f t="shared" si="11"/>
        <v>43159</v>
      </c>
      <c r="E53" s="77">
        <f t="shared" si="11"/>
        <v>43190</v>
      </c>
      <c r="F53" s="77">
        <f t="shared" si="11"/>
        <v>43220</v>
      </c>
      <c r="G53" s="77">
        <f t="shared" si="11"/>
        <v>43251</v>
      </c>
      <c r="H53" s="77">
        <f t="shared" si="11"/>
        <v>43281</v>
      </c>
      <c r="I53" s="77">
        <f t="shared" si="11"/>
        <v>43312</v>
      </c>
      <c r="J53" s="77">
        <f t="shared" si="11"/>
        <v>43343</v>
      </c>
      <c r="K53" s="77">
        <f t="shared" si="11"/>
        <v>43373</v>
      </c>
      <c r="L53" s="77">
        <f t="shared" si="11"/>
        <v>43404</v>
      </c>
      <c r="M53" s="77">
        <f t="shared" si="11"/>
        <v>43434</v>
      </c>
      <c r="N53" s="77">
        <f t="shared" si="11"/>
        <v>43465</v>
      </c>
      <c r="O53" s="77">
        <f t="shared" si="11"/>
        <v>43496</v>
      </c>
      <c r="P53" s="77">
        <f t="shared" si="11"/>
        <v>43524</v>
      </c>
      <c r="Q53" s="77">
        <f t="shared" si="11"/>
        <v>43555</v>
      </c>
      <c r="R53" s="77">
        <f t="shared" si="11"/>
        <v>43585</v>
      </c>
      <c r="S53" s="77">
        <f t="shared" si="11"/>
        <v>43616</v>
      </c>
      <c r="T53" s="77">
        <f t="shared" si="11"/>
        <v>43646</v>
      </c>
      <c r="U53" s="77">
        <f t="shared" si="11"/>
        <v>43677</v>
      </c>
      <c r="V53" s="77">
        <f t="shared" si="11"/>
        <v>43708</v>
      </c>
      <c r="W53" s="77">
        <f t="shared" si="11"/>
        <v>43738</v>
      </c>
      <c r="X53" s="77">
        <f t="shared" si="11"/>
        <v>43769</v>
      </c>
      <c r="Y53" s="77">
        <f t="shared" si="11"/>
        <v>43799</v>
      </c>
      <c r="Z53" s="107">
        <f t="shared" si="11"/>
        <v>43830</v>
      </c>
      <c r="AA53" s="114">
        <v>43861</v>
      </c>
      <c r="AB53" s="149"/>
    </row>
    <row r="54" spans="1:28" x14ac:dyDescent="0.25">
      <c r="A54" s="98" t="s">
        <v>17</v>
      </c>
      <c r="B54" s="78" t="s">
        <v>18</v>
      </c>
      <c r="C54" s="78">
        <v>98</v>
      </c>
      <c r="D54" s="78">
        <v>89</v>
      </c>
      <c r="E54" s="78">
        <v>86</v>
      </c>
      <c r="F54" s="78">
        <v>70</v>
      </c>
      <c r="G54" s="78">
        <v>65</v>
      </c>
      <c r="H54" s="78">
        <v>63</v>
      </c>
      <c r="I54" s="78">
        <v>62</v>
      </c>
      <c r="J54" s="78">
        <v>58</v>
      </c>
      <c r="K54" s="78">
        <v>91</v>
      </c>
      <c r="L54" s="78">
        <v>92</v>
      </c>
      <c r="M54" s="78">
        <v>71</v>
      </c>
      <c r="N54" s="78">
        <v>96</v>
      </c>
      <c r="O54" s="78">
        <v>118</v>
      </c>
      <c r="P54" s="78">
        <v>86</v>
      </c>
      <c r="Q54" s="78">
        <v>78</v>
      </c>
      <c r="R54" s="78">
        <v>88</v>
      </c>
      <c r="S54" s="78">
        <v>71</v>
      </c>
      <c r="T54" s="78">
        <v>75</v>
      </c>
      <c r="U54" s="78">
        <v>69</v>
      </c>
      <c r="V54" s="78">
        <v>70</v>
      </c>
      <c r="W54" s="78">
        <v>87</v>
      </c>
      <c r="X54" s="78">
        <v>104</v>
      </c>
      <c r="Y54" s="78">
        <v>90</v>
      </c>
      <c r="Z54" s="99">
        <v>137</v>
      </c>
      <c r="AA54" s="116" t="s">
        <v>224</v>
      </c>
      <c r="AB54" s="149"/>
    </row>
    <row r="55" spans="1:28" x14ac:dyDescent="0.25">
      <c r="A55" s="98" t="s">
        <v>17</v>
      </c>
      <c r="B55" s="78" t="s">
        <v>19</v>
      </c>
      <c r="C55" s="78">
        <v>72</v>
      </c>
      <c r="D55" s="78">
        <v>61</v>
      </c>
      <c r="E55" s="78">
        <v>84</v>
      </c>
      <c r="F55" s="78">
        <v>70</v>
      </c>
      <c r="G55" s="78">
        <v>62</v>
      </c>
      <c r="H55" s="78">
        <v>56</v>
      </c>
      <c r="I55" s="78">
        <v>83</v>
      </c>
      <c r="J55" s="78">
        <v>59</v>
      </c>
      <c r="K55" s="78">
        <v>74</v>
      </c>
      <c r="L55" s="78">
        <v>76</v>
      </c>
      <c r="M55" s="78">
        <v>71</v>
      </c>
      <c r="N55" s="78">
        <v>84</v>
      </c>
      <c r="O55" s="78">
        <v>56</v>
      </c>
      <c r="P55" s="78">
        <v>77</v>
      </c>
      <c r="Q55" s="78">
        <v>76</v>
      </c>
      <c r="R55" s="78">
        <v>98</v>
      </c>
      <c r="S55" s="78">
        <v>74</v>
      </c>
      <c r="T55" s="78">
        <v>77</v>
      </c>
      <c r="U55" s="78">
        <v>85</v>
      </c>
      <c r="V55" s="78">
        <v>95</v>
      </c>
      <c r="W55" s="78">
        <v>68</v>
      </c>
      <c r="X55" s="78">
        <v>87</v>
      </c>
      <c r="Y55" s="78">
        <v>101</v>
      </c>
      <c r="Z55" s="99">
        <v>90</v>
      </c>
      <c r="AA55" s="116" t="s">
        <v>224</v>
      </c>
      <c r="AB55" s="149"/>
    </row>
    <row r="56" spans="1:28" x14ac:dyDescent="0.25">
      <c r="A56" s="98" t="s">
        <v>6</v>
      </c>
      <c r="B56" s="78" t="s">
        <v>20</v>
      </c>
      <c r="C56" s="88">
        <v>491679</v>
      </c>
      <c r="D56" s="88">
        <v>521969</v>
      </c>
      <c r="E56" s="88">
        <v>463452</v>
      </c>
      <c r="F56" s="88">
        <v>590813</v>
      </c>
      <c r="G56" s="88">
        <v>574839</v>
      </c>
      <c r="H56" s="88">
        <v>546457</v>
      </c>
      <c r="I56" s="88">
        <v>549056</v>
      </c>
      <c r="J56" s="88">
        <v>491903</v>
      </c>
      <c r="K56" s="88">
        <v>453448</v>
      </c>
      <c r="L56" s="88">
        <v>596772</v>
      </c>
      <c r="M56" s="88">
        <v>520206</v>
      </c>
      <c r="N56" s="88">
        <v>505092</v>
      </c>
      <c r="O56" s="88">
        <v>475995</v>
      </c>
      <c r="P56" s="88">
        <v>513451</v>
      </c>
      <c r="Q56" s="88">
        <v>495562</v>
      </c>
      <c r="R56" s="88">
        <v>510506</v>
      </c>
      <c r="S56" s="88">
        <v>555219</v>
      </c>
      <c r="T56" s="88">
        <v>558478</v>
      </c>
      <c r="U56" s="88">
        <v>598552</v>
      </c>
      <c r="V56" s="88">
        <v>494349</v>
      </c>
      <c r="W56" s="88">
        <v>573315</v>
      </c>
      <c r="X56" s="88">
        <v>598714</v>
      </c>
      <c r="Y56" s="92">
        <v>512022</v>
      </c>
      <c r="Z56" s="108">
        <v>548070</v>
      </c>
      <c r="AA56" s="116" t="s">
        <v>224</v>
      </c>
      <c r="AB56" s="149"/>
    </row>
    <row r="57" spans="1:28" x14ac:dyDescent="0.25">
      <c r="A57" s="98" t="s">
        <v>6</v>
      </c>
      <c r="B57" s="78" t="s">
        <v>21</v>
      </c>
      <c r="C57" s="88">
        <v>295711</v>
      </c>
      <c r="D57" s="88">
        <v>265458</v>
      </c>
      <c r="E57" s="88">
        <v>305249</v>
      </c>
      <c r="F57" s="88">
        <v>276776</v>
      </c>
      <c r="G57" s="88">
        <v>261273</v>
      </c>
      <c r="H57" s="88">
        <v>286337</v>
      </c>
      <c r="I57" s="88">
        <v>274171</v>
      </c>
      <c r="J57" s="88">
        <v>305695</v>
      </c>
      <c r="K57" s="88">
        <v>271957</v>
      </c>
      <c r="L57" s="88">
        <v>283292</v>
      </c>
      <c r="M57" s="88">
        <v>342486</v>
      </c>
      <c r="N57" s="88">
        <v>244125</v>
      </c>
      <c r="O57" s="88">
        <v>257247</v>
      </c>
      <c r="P57" s="88">
        <v>261924</v>
      </c>
      <c r="Q57" s="88">
        <v>264280</v>
      </c>
      <c r="R57" s="88">
        <v>286868</v>
      </c>
      <c r="S57" s="88">
        <v>302449</v>
      </c>
      <c r="T57" s="88">
        <v>273317</v>
      </c>
      <c r="U57" s="88">
        <v>369487</v>
      </c>
      <c r="V57" s="88">
        <v>266577</v>
      </c>
      <c r="W57" s="88">
        <v>325878</v>
      </c>
      <c r="X57" s="88">
        <v>366935</v>
      </c>
      <c r="Y57" s="88">
        <v>250805</v>
      </c>
      <c r="Z57" s="108">
        <v>291714</v>
      </c>
      <c r="AA57" s="116" t="s">
        <v>224</v>
      </c>
      <c r="AB57" s="149"/>
    </row>
    <row r="58" spans="1:28" x14ac:dyDescent="0.25">
      <c r="A58" s="98" t="s">
        <v>4</v>
      </c>
      <c r="B58" s="78" t="s">
        <v>20</v>
      </c>
      <c r="C58" s="78">
        <v>69</v>
      </c>
      <c r="D58" s="78">
        <v>75</v>
      </c>
      <c r="E58" s="78">
        <v>79</v>
      </c>
      <c r="F58" s="78">
        <v>102</v>
      </c>
      <c r="G58" s="78">
        <v>105</v>
      </c>
      <c r="H58" s="78">
        <v>118</v>
      </c>
      <c r="I58" s="78">
        <v>86</v>
      </c>
      <c r="J58" s="78">
        <v>88</v>
      </c>
      <c r="K58" s="78">
        <v>67</v>
      </c>
      <c r="L58" s="78">
        <v>81</v>
      </c>
      <c r="M58" s="78">
        <v>59</v>
      </c>
      <c r="N58" s="78">
        <v>53</v>
      </c>
      <c r="O58" s="78">
        <v>41</v>
      </c>
      <c r="P58" s="78">
        <v>62</v>
      </c>
      <c r="Q58" s="78">
        <v>71</v>
      </c>
      <c r="R58" s="78">
        <v>113</v>
      </c>
      <c r="S58" s="78">
        <v>131</v>
      </c>
      <c r="T58" s="78">
        <v>103</v>
      </c>
      <c r="U58" s="78">
        <v>126</v>
      </c>
      <c r="V58" s="78">
        <v>104</v>
      </c>
      <c r="W58" s="78">
        <v>101</v>
      </c>
      <c r="X58" s="78">
        <v>103</v>
      </c>
      <c r="Y58" s="78">
        <v>79</v>
      </c>
      <c r="Z58" s="99">
        <v>56</v>
      </c>
      <c r="AA58" s="122">
        <f>CORREL(C54:Z54,C58:Z58)</f>
        <v>-0.58285212063550174</v>
      </c>
      <c r="AB58" s="149"/>
    </row>
    <row r="59" spans="1:28" x14ac:dyDescent="0.25">
      <c r="A59" s="98" t="s">
        <v>4</v>
      </c>
      <c r="B59" s="78" t="s">
        <v>21</v>
      </c>
      <c r="C59" s="78">
        <v>44</v>
      </c>
      <c r="D59" s="78">
        <v>49</v>
      </c>
      <c r="E59" s="78">
        <v>62</v>
      </c>
      <c r="F59" s="78">
        <v>78</v>
      </c>
      <c r="G59" s="78">
        <v>64</v>
      </c>
      <c r="H59" s="78">
        <v>66</v>
      </c>
      <c r="I59" s="78">
        <v>60</v>
      </c>
      <c r="J59" s="78">
        <v>57</v>
      </c>
      <c r="K59" s="78">
        <v>35</v>
      </c>
      <c r="L59" s="78">
        <v>40</v>
      </c>
      <c r="M59" s="78">
        <v>34</v>
      </c>
      <c r="N59" s="78">
        <v>22</v>
      </c>
      <c r="O59" s="78">
        <v>17</v>
      </c>
      <c r="P59" s="78">
        <v>26</v>
      </c>
      <c r="Q59" s="78">
        <v>46</v>
      </c>
      <c r="R59" s="78">
        <v>52</v>
      </c>
      <c r="S59" s="78">
        <v>57</v>
      </c>
      <c r="T59" s="78">
        <v>63</v>
      </c>
      <c r="U59" s="78">
        <v>61</v>
      </c>
      <c r="V59" s="78">
        <v>43</v>
      </c>
      <c r="W59" s="78">
        <v>55</v>
      </c>
      <c r="X59" s="78">
        <v>39</v>
      </c>
      <c r="Y59" s="78">
        <v>35</v>
      </c>
      <c r="Z59" s="99">
        <v>26</v>
      </c>
      <c r="AA59" s="116" t="s">
        <v>224</v>
      </c>
      <c r="AB59" s="149"/>
    </row>
    <row r="60" spans="1:28" x14ac:dyDescent="0.25">
      <c r="A60" s="98" t="s">
        <v>22</v>
      </c>
      <c r="B60" s="78" t="s">
        <v>20</v>
      </c>
      <c r="C60" s="78">
        <v>501</v>
      </c>
      <c r="D60" s="78">
        <v>535</v>
      </c>
      <c r="E60" s="78">
        <v>595</v>
      </c>
      <c r="F60" s="78">
        <v>710</v>
      </c>
      <c r="G60" s="78">
        <v>795</v>
      </c>
      <c r="H60" s="78">
        <v>821</v>
      </c>
      <c r="I60" s="78">
        <v>892</v>
      </c>
      <c r="J60" s="78">
        <v>719</v>
      </c>
      <c r="K60" s="78">
        <v>912</v>
      </c>
      <c r="L60" s="78">
        <v>878</v>
      </c>
      <c r="M60" s="78">
        <v>784</v>
      </c>
      <c r="N60" s="78">
        <v>654</v>
      </c>
      <c r="O60" s="78">
        <v>697</v>
      </c>
      <c r="P60" s="78">
        <v>712</v>
      </c>
      <c r="Q60" s="78">
        <v>767</v>
      </c>
      <c r="R60" s="78">
        <v>894</v>
      </c>
      <c r="S60" s="78">
        <v>947</v>
      </c>
      <c r="T60" s="78">
        <v>1027</v>
      </c>
      <c r="U60" s="78">
        <v>1007</v>
      </c>
      <c r="V60" s="78">
        <v>1010</v>
      </c>
      <c r="W60" s="78">
        <v>975</v>
      </c>
      <c r="X60" s="78">
        <v>871</v>
      </c>
      <c r="Y60" s="78">
        <v>791</v>
      </c>
      <c r="Z60" s="99">
        <v>664</v>
      </c>
      <c r="AA60" s="116" t="s">
        <v>224</v>
      </c>
      <c r="AB60" s="149"/>
    </row>
    <row r="61" spans="1:28" x14ac:dyDescent="0.25">
      <c r="A61" s="98" t="s">
        <v>22</v>
      </c>
      <c r="B61" s="78" t="s">
        <v>21</v>
      </c>
      <c r="C61" s="78">
        <v>192</v>
      </c>
      <c r="D61" s="78">
        <v>186</v>
      </c>
      <c r="E61" s="78">
        <v>209</v>
      </c>
      <c r="F61" s="78">
        <v>232</v>
      </c>
      <c r="G61" s="78">
        <v>265</v>
      </c>
      <c r="H61" s="78">
        <v>269</v>
      </c>
      <c r="I61" s="78">
        <v>275</v>
      </c>
      <c r="J61" s="78">
        <v>281</v>
      </c>
      <c r="K61" s="78">
        <v>328</v>
      </c>
      <c r="L61" s="78">
        <v>338</v>
      </c>
      <c r="M61" s="78">
        <v>321</v>
      </c>
      <c r="N61" s="78">
        <v>297</v>
      </c>
      <c r="O61" s="78">
        <v>306</v>
      </c>
      <c r="P61" s="78">
        <v>321</v>
      </c>
      <c r="Q61" s="78">
        <v>329</v>
      </c>
      <c r="R61" s="78">
        <v>356</v>
      </c>
      <c r="S61" s="78">
        <v>425</v>
      </c>
      <c r="T61" s="78">
        <v>395</v>
      </c>
      <c r="U61" s="78">
        <v>369</v>
      </c>
      <c r="V61" s="78">
        <v>394</v>
      </c>
      <c r="W61" s="78">
        <v>382</v>
      </c>
      <c r="X61" s="78">
        <v>357</v>
      </c>
      <c r="Y61" s="78">
        <v>336</v>
      </c>
      <c r="Z61" s="99">
        <v>288</v>
      </c>
      <c r="AA61" s="116" t="s">
        <v>224</v>
      </c>
      <c r="AB61" s="149"/>
    </row>
    <row r="62" spans="1:28" x14ac:dyDescent="0.25">
      <c r="A62" s="98" t="s">
        <v>23</v>
      </c>
      <c r="B62" s="78" t="s">
        <v>20</v>
      </c>
      <c r="C62" s="78">
        <v>82</v>
      </c>
      <c r="D62" s="78">
        <v>133</v>
      </c>
      <c r="E62" s="78">
        <v>162</v>
      </c>
      <c r="F62" s="78">
        <v>250</v>
      </c>
      <c r="G62" s="78">
        <v>262</v>
      </c>
      <c r="H62" s="78">
        <v>210</v>
      </c>
      <c r="I62" s="78">
        <v>261</v>
      </c>
      <c r="J62" s="78">
        <v>203</v>
      </c>
      <c r="K62" s="78">
        <v>183</v>
      </c>
      <c r="L62" s="78">
        <v>188</v>
      </c>
      <c r="M62" s="78">
        <v>127</v>
      </c>
      <c r="N62" s="78">
        <v>87</v>
      </c>
      <c r="O62" s="78">
        <v>160</v>
      </c>
      <c r="P62" s="78">
        <v>150</v>
      </c>
      <c r="Q62" s="78">
        <v>214</v>
      </c>
      <c r="R62" s="78">
        <v>344</v>
      </c>
      <c r="S62" s="78">
        <v>291</v>
      </c>
      <c r="T62" s="78">
        <v>271</v>
      </c>
      <c r="U62" s="78">
        <v>227</v>
      </c>
      <c r="V62" s="78">
        <v>225</v>
      </c>
      <c r="W62" s="78">
        <v>201</v>
      </c>
      <c r="X62" s="78">
        <v>169</v>
      </c>
      <c r="Y62" s="78">
        <v>136</v>
      </c>
      <c r="Z62" s="99">
        <v>73</v>
      </c>
      <c r="AA62" s="116" t="s">
        <v>224</v>
      </c>
      <c r="AB62" s="149"/>
    </row>
    <row r="63" spans="1:28" x14ac:dyDescent="0.25">
      <c r="A63" s="98" t="s">
        <v>23</v>
      </c>
      <c r="B63" s="78" t="s">
        <v>21</v>
      </c>
      <c r="C63" s="78">
        <v>56</v>
      </c>
      <c r="D63" s="78">
        <v>56</v>
      </c>
      <c r="E63" s="78">
        <v>100</v>
      </c>
      <c r="F63" s="78">
        <v>108</v>
      </c>
      <c r="G63" s="78">
        <v>108</v>
      </c>
      <c r="H63" s="78">
        <v>96</v>
      </c>
      <c r="I63" s="78">
        <v>92</v>
      </c>
      <c r="J63" s="78">
        <v>85</v>
      </c>
      <c r="K63" s="78">
        <v>113</v>
      </c>
      <c r="L63" s="78">
        <v>75</v>
      </c>
      <c r="M63" s="78">
        <v>47</v>
      </c>
      <c r="N63" s="78">
        <v>28</v>
      </c>
      <c r="O63" s="78">
        <v>45</v>
      </c>
      <c r="P63" s="78">
        <v>59</v>
      </c>
      <c r="Q63" s="78">
        <v>100</v>
      </c>
      <c r="R63" s="78">
        <v>123</v>
      </c>
      <c r="S63" s="78">
        <v>149</v>
      </c>
      <c r="T63" s="78">
        <v>85</v>
      </c>
      <c r="U63" s="78">
        <v>84</v>
      </c>
      <c r="V63" s="78">
        <v>95</v>
      </c>
      <c r="W63" s="78">
        <v>123</v>
      </c>
      <c r="X63" s="78">
        <v>64</v>
      </c>
      <c r="Y63" s="78">
        <v>55</v>
      </c>
      <c r="Z63" s="99">
        <v>34</v>
      </c>
      <c r="AA63" s="116" t="s">
        <v>224</v>
      </c>
      <c r="AB63" s="149"/>
    </row>
    <row r="64" spans="1:28" x14ac:dyDescent="0.25">
      <c r="A64" s="106" t="s">
        <v>87</v>
      </c>
      <c r="Z64" s="99"/>
      <c r="AA64" s="116"/>
      <c r="AB64" s="149"/>
    </row>
    <row r="65" spans="1:28" x14ac:dyDescent="0.25">
      <c r="A65" s="98"/>
      <c r="Z65" s="99"/>
      <c r="AA65" s="116"/>
      <c r="AB65" s="149"/>
    </row>
    <row r="66" spans="1:28" x14ac:dyDescent="0.25">
      <c r="A66" s="169" t="s">
        <v>70</v>
      </c>
      <c r="B66" s="170"/>
      <c r="C66" s="77">
        <f t="shared" ref="C66:AA66" si="12">C2</f>
        <v>43131</v>
      </c>
      <c r="D66" s="77">
        <f t="shared" si="12"/>
        <v>43159</v>
      </c>
      <c r="E66" s="77">
        <f t="shared" si="12"/>
        <v>43190</v>
      </c>
      <c r="F66" s="77">
        <f t="shared" si="12"/>
        <v>43220</v>
      </c>
      <c r="G66" s="77">
        <f t="shared" si="12"/>
        <v>43251</v>
      </c>
      <c r="H66" s="77">
        <f t="shared" si="12"/>
        <v>43281</v>
      </c>
      <c r="I66" s="77">
        <f t="shared" si="12"/>
        <v>43312</v>
      </c>
      <c r="J66" s="77">
        <f t="shared" si="12"/>
        <v>43343</v>
      </c>
      <c r="K66" s="77">
        <f t="shared" si="12"/>
        <v>43373</v>
      </c>
      <c r="L66" s="77">
        <f t="shared" si="12"/>
        <v>43404</v>
      </c>
      <c r="M66" s="77">
        <f t="shared" si="12"/>
        <v>43434</v>
      </c>
      <c r="N66" s="77">
        <f t="shared" si="12"/>
        <v>43465</v>
      </c>
      <c r="O66" s="77">
        <f t="shared" si="12"/>
        <v>43496</v>
      </c>
      <c r="P66" s="77">
        <f t="shared" si="12"/>
        <v>43524</v>
      </c>
      <c r="Q66" s="77">
        <f t="shared" si="12"/>
        <v>43555</v>
      </c>
      <c r="R66" s="77">
        <f t="shared" si="12"/>
        <v>43585</v>
      </c>
      <c r="S66" s="77">
        <f t="shared" si="12"/>
        <v>43616</v>
      </c>
      <c r="T66" s="77">
        <f t="shared" si="12"/>
        <v>43646</v>
      </c>
      <c r="U66" s="77">
        <f t="shared" si="12"/>
        <v>43677</v>
      </c>
      <c r="V66" s="77">
        <f t="shared" si="12"/>
        <v>43708</v>
      </c>
      <c r="W66" s="77">
        <f t="shared" si="12"/>
        <v>43738</v>
      </c>
      <c r="X66" s="77">
        <f t="shared" si="12"/>
        <v>43769</v>
      </c>
      <c r="Y66" s="77">
        <f t="shared" si="12"/>
        <v>43799</v>
      </c>
      <c r="Z66" s="107">
        <f t="shared" si="12"/>
        <v>43830</v>
      </c>
      <c r="AA66" s="114">
        <f t="shared" si="12"/>
        <v>43861</v>
      </c>
      <c r="AB66" s="149"/>
    </row>
    <row r="67" spans="1:28" x14ac:dyDescent="0.25">
      <c r="A67" s="165" t="s">
        <v>0</v>
      </c>
      <c r="B67" s="166"/>
      <c r="C67" s="80">
        <f t="shared" ref="C67:Q67" si="13">C5+C6</f>
        <v>1818</v>
      </c>
      <c r="D67" s="80">
        <f t="shared" si="13"/>
        <v>2207</v>
      </c>
      <c r="E67" s="80">
        <f t="shared" si="13"/>
        <v>2517</v>
      </c>
      <c r="F67" s="80">
        <f t="shared" si="13"/>
        <v>2569</v>
      </c>
      <c r="G67" s="80">
        <f t="shared" si="13"/>
        <v>2833</v>
      </c>
      <c r="H67" s="80">
        <f t="shared" si="13"/>
        <v>2425</v>
      </c>
      <c r="I67" s="80">
        <f t="shared" si="13"/>
        <v>2070</v>
      </c>
      <c r="J67" s="80">
        <f t="shared" si="13"/>
        <v>1929</v>
      </c>
      <c r="K67" s="80">
        <f t="shared" si="13"/>
        <v>1595</v>
      </c>
      <c r="L67" s="80">
        <f t="shared" si="13"/>
        <v>1966</v>
      </c>
      <c r="M67" s="80">
        <f t="shared" si="13"/>
        <v>1608</v>
      </c>
      <c r="N67" s="80">
        <f t="shared" si="13"/>
        <v>1072</v>
      </c>
      <c r="O67" s="80">
        <f t="shared" si="13"/>
        <v>1103</v>
      </c>
      <c r="P67" s="80">
        <f t="shared" si="13"/>
        <v>1484</v>
      </c>
      <c r="Q67" s="80">
        <f t="shared" si="13"/>
        <v>1727</v>
      </c>
      <c r="R67" s="80">
        <f t="shared" ref="R67:AA67" si="14">R5+R6</f>
        <v>1829</v>
      </c>
      <c r="S67" s="80">
        <f t="shared" si="14"/>
        <v>2578</v>
      </c>
      <c r="T67" s="80">
        <f t="shared" si="14"/>
        <v>2077</v>
      </c>
      <c r="U67" s="80">
        <f t="shared" si="14"/>
        <v>2557</v>
      </c>
      <c r="V67" s="80">
        <f t="shared" si="14"/>
        <v>2231</v>
      </c>
      <c r="W67" s="80">
        <f t="shared" si="14"/>
        <v>2333</v>
      </c>
      <c r="X67" s="80">
        <f t="shared" si="14"/>
        <v>2858</v>
      </c>
      <c r="Y67" s="80">
        <f t="shared" si="14"/>
        <v>2498</v>
      </c>
      <c r="Z67" s="111">
        <f t="shared" si="14"/>
        <v>2016</v>
      </c>
      <c r="AA67" s="123">
        <f t="shared" si="14"/>
        <v>1571</v>
      </c>
      <c r="AB67" s="149"/>
    </row>
    <row r="68" spans="1:28" x14ac:dyDescent="0.25">
      <c r="A68" s="165" t="s">
        <v>14</v>
      </c>
      <c r="B68" s="166"/>
      <c r="C68" s="78">
        <f t="shared" ref="C68:Q68" si="15">C19</f>
        <v>290</v>
      </c>
      <c r="D68" s="78">
        <f t="shared" si="15"/>
        <v>316</v>
      </c>
      <c r="E68" s="78">
        <f t="shared" si="15"/>
        <v>399</v>
      </c>
      <c r="F68" s="78">
        <f t="shared" si="15"/>
        <v>476</v>
      </c>
      <c r="G68" s="78">
        <f t="shared" si="15"/>
        <v>518</v>
      </c>
      <c r="H68" s="78">
        <f t="shared" si="15"/>
        <v>438</v>
      </c>
      <c r="I68" s="78">
        <f t="shared" si="15"/>
        <v>437</v>
      </c>
      <c r="J68" s="78">
        <f t="shared" si="15"/>
        <v>467</v>
      </c>
      <c r="K68" s="78">
        <f t="shared" si="15"/>
        <v>347</v>
      </c>
      <c r="L68" s="78">
        <f t="shared" si="15"/>
        <v>384</v>
      </c>
      <c r="M68" s="78">
        <f t="shared" si="15"/>
        <v>304</v>
      </c>
      <c r="N68" s="78">
        <f t="shared" si="15"/>
        <v>170</v>
      </c>
      <c r="O68" s="78">
        <f t="shared" si="15"/>
        <v>209</v>
      </c>
      <c r="P68" s="78">
        <f t="shared" si="15"/>
        <v>227</v>
      </c>
      <c r="Q68" s="78">
        <f t="shared" si="15"/>
        <v>308</v>
      </c>
      <c r="R68" s="78">
        <f t="shared" ref="R68:AA68" si="16">R19</f>
        <v>412</v>
      </c>
      <c r="S68" s="78">
        <f t="shared" si="16"/>
        <v>459</v>
      </c>
      <c r="T68" s="78">
        <f t="shared" si="16"/>
        <v>408</v>
      </c>
      <c r="U68" s="78">
        <f t="shared" si="16"/>
        <v>453</v>
      </c>
      <c r="V68" s="78">
        <f t="shared" si="16"/>
        <v>413</v>
      </c>
      <c r="W68" s="78">
        <f t="shared" si="16"/>
        <v>345</v>
      </c>
      <c r="X68" s="78">
        <f t="shared" si="16"/>
        <v>342</v>
      </c>
      <c r="Y68" s="78">
        <f t="shared" si="16"/>
        <v>312</v>
      </c>
      <c r="Z68" s="99">
        <f t="shared" si="16"/>
        <v>237</v>
      </c>
      <c r="AA68" s="116">
        <f t="shared" si="16"/>
        <v>174</v>
      </c>
      <c r="AB68" s="149"/>
    </row>
    <row r="69" spans="1:28" x14ac:dyDescent="0.25">
      <c r="A69" s="165" t="s">
        <v>69</v>
      </c>
      <c r="B69" s="166"/>
      <c r="C69" s="78">
        <f t="shared" ref="C69:Q69" si="17">C24</f>
        <v>318</v>
      </c>
      <c r="D69" s="78">
        <f t="shared" si="17"/>
        <v>344</v>
      </c>
      <c r="E69" s="78">
        <f t="shared" si="17"/>
        <v>412</v>
      </c>
      <c r="F69" s="78">
        <f t="shared" si="17"/>
        <v>478</v>
      </c>
      <c r="G69" s="78">
        <f t="shared" si="17"/>
        <v>504</v>
      </c>
      <c r="H69" s="78">
        <f t="shared" si="17"/>
        <v>484</v>
      </c>
      <c r="I69" s="78">
        <f t="shared" si="17"/>
        <v>433</v>
      </c>
      <c r="J69" s="78">
        <f t="shared" si="17"/>
        <v>417</v>
      </c>
      <c r="K69" s="78">
        <f t="shared" si="17"/>
        <v>364</v>
      </c>
      <c r="L69" s="78">
        <f t="shared" si="17"/>
        <v>377</v>
      </c>
      <c r="M69" s="78">
        <f t="shared" si="17"/>
        <v>282</v>
      </c>
      <c r="N69" s="78">
        <f t="shared" si="17"/>
        <v>194</v>
      </c>
      <c r="O69" s="78">
        <f t="shared" si="17"/>
        <v>192</v>
      </c>
      <c r="P69" s="78">
        <f t="shared" si="17"/>
        <v>264</v>
      </c>
      <c r="Q69" s="78">
        <f t="shared" si="17"/>
        <v>343</v>
      </c>
      <c r="R69" s="78">
        <f t="shared" ref="R69:Z69" si="18">R24</f>
        <v>424</v>
      </c>
      <c r="S69" s="78">
        <f t="shared" si="18"/>
        <v>509</v>
      </c>
      <c r="T69" s="78">
        <f t="shared" si="18"/>
        <v>451</v>
      </c>
      <c r="U69" s="78">
        <f t="shared" si="18"/>
        <v>441</v>
      </c>
      <c r="V69" s="78">
        <f t="shared" si="18"/>
        <v>516</v>
      </c>
      <c r="W69" s="78">
        <f t="shared" si="18"/>
        <v>562</v>
      </c>
      <c r="X69" s="78">
        <f t="shared" si="18"/>
        <v>383</v>
      </c>
      <c r="Y69" s="78">
        <f t="shared" si="18"/>
        <v>371</v>
      </c>
      <c r="Z69" s="99">
        <f t="shared" si="18"/>
        <v>271</v>
      </c>
      <c r="AA69" s="116">
        <v>0</v>
      </c>
      <c r="AB69" s="149"/>
    </row>
    <row r="70" spans="1:28" hidden="1" x14ac:dyDescent="0.25">
      <c r="A70" s="165" t="s">
        <v>24</v>
      </c>
      <c r="B70" s="166"/>
      <c r="C70" s="78">
        <f t="shared" ref="C70:Q70" si="19">C33</f>
        <v>41</v>
      </c>
      <c r="D70" s="78">
        <f t="shared" si="19"/>
        <v>40</v>
      </c>
      <c r="E70" s="78">
        <f t="shared" si="19"/>
        <v>62</v>
      </c>
      <c r="F70" s="78">
        <f t="shared" si="19"/>
        <v>99</v>
      </c>
      <c r="G70" s="78">
        <f t="shared" si="19"/>
        <v>190</v>
      </c>
      <c r="H70" s="78">
        <f t="shared" si="19"/>
        <v>144</v>
      </c>
      <c r="I70" s="78">
        <f t="shared" si="19"/>
        <v>122</v>
      </c>
      <c r="J70" s="78">
        <f t="shared" si="19"/>
        <v>118</v>
      </c>
      <c r="K70" s="78">
        <f t="shared" si="19"/>
        <v>87</v>
      </c>
      <c r="L70" s="78">
        <f t="shared" si="19"/>
        <v>0</v>
      </c>
      <c r="M70" s="78">
        <f t="shared" si="19"/>
        <v>0</v>
      </c>
      <c r="N70" s="78">
        <f t="shared" si="19"/>
        <v>0</v>
      </c>
      <c r="O70" s="78">
        <f t="shared" si="19"/>
        <v>0</v>
      </c>
      <c r="P70" s="78">
        <f t="shared" si="19"/>
        <v>0</v>
      </c>
      <c r="Q70" s="78">
        <f t="shared" si="19"/>
        <v>0</v>
      </c>
      <c r="R70" s="78">
        <f t="shared" ref="R70:Z70" si="20">R33</f>
        <v>0</v>
      </c>
      <c r="S70" s="78">
        <f t="shared" si="20"/>
        <v>0</v>
      </c>
      <c r="T70" s="78">
        <f t="shared" si="20"/>
        <v>0</v>
      </c>
      <c r="U70" s="78">
        <f t="shared" si="20"/>
        <v>0</v>
      </c>
      <c r="V70" s="78">
        <f t="shared" si="20"/>
        <v>0</v>
      </c>
      <c r="W70" s="78">
        <f t="shared" si="20"/>
        <v>0</v>
      </c>
      <c r="X70" s="78">
        <f t="shared" si="20"/>
        <v>0</v>
      </c>
      <c r="Y70" s="78">
        <f t="shared" si="20"/>
        <v>0</v>
      </c>
      <c r="Z70" s="99">
        <f t="shared" si="20"/>
        <v>0</v>
      </c>
      <c r="AA70" s="116" t="s">
        <v>224</v>
      </c>
      <c r="AB70" s="149"/>
    </row>
    <row r="71" spans="1:28" x14ac:dyDescent="0.25">
      <c r="A71" s="165" t="s">
        <v>34</v>
      </c>
      <c r="B71" s="166"/>
      <c r="C71" s="78">
        <f t="shared" ref="C71:Q71" si="21">C43+C44</f>
        <v>784</v>
      </c>
      <c r="D71" s="78">
        <f t="shared" si="21"/>
        <v>901</v>
      </c>
      <c r="E71" s="78">
        <f t="shared" si="21"/>
        <v>1080</v>
      </c>
      <c r="F71" s="78">
        <f t="shared" si="21"/>
        <v>1097</v>
      </c>
      <c r="G71" s="78">
        <f t="shared" si="21"/>
        <v>1174</v>
      </c>
      <c r="H71" s="78">
        <f t="shared" si="21"/>
        <v>921</v>
      </c>
      <c r="I71" s="78">
        <f t="shared" si="21"/>
        <v>806</v>
      </c>
      <c r="J71" s="78">
        <f t="shared" si="21"/>
        <v>751</v>
      </c>
      <c r="K71" s="78">
        <f t="shared" si="21"/>
        <v>650</v>
      </c>
      <c r="L71" s="78">
        <f t="shared" si="21"/>
        <v>730</v>
      </c>
      <c r="M71" s="78">
        <f t="shared" si="21"/>
        <v>669</v>
      </c>
      <c r="N71" s="78">
        <f t="shared" si="21"/>
        <v>484</v>
      </c>
      <c r="O71" s="78">
        <f t="shared" si="21"/>
        <v>507</v>
      </c>
      <c r="P71" s="78">
        <f t="shared" si="21"/>
        <v>642</v>
      </c>
      <c r="Q71" s="78">
        <f t="shared" si="21"/>
        <v>808</v>
      </c>
      <c r="R71" s="78">
        <f t="shared" ref="R71:AA71" si="22">R43+R44</f>
        <v>863</v>
      </c>
      <c r="S71" s="78">
        <f t="shared" si="22"/>
        <v>958</v>
      </c>
      <c r="T71" s="78">
        <f t="shared" si="22"/>
        <v>833</v>
      </c>
      <c r="U71" s="78">
        <f t="shared" si="22"/>
        <v>901</v>
      </c>
      <c r="V71" s="78">
        <f t="shared" si="22"/>
        <v>842</v>
      </c>
      <c r="W71" s="78">
        <f t="shared" si="22"/>
        <v>882</v>
      </c>
      <c r="X71" s="78">
        <f t="shared" si="22"/>
        <v>1024</v>
      </c>
      <c r="Y71" s="78">
        <f t="shared" si="22"/>
        <v>887</v>
      </c>
      <c r="Z71" s="99">
        <f t="shared" si="22"/>
        <v>776</v>
      </c>
      <c r="AA71" s="116">
        <f t="shared" si="22"/>
        <v>611</v>
      </c>
      <c r="AB71" s="149"/>
    </row>
    <row r="72" spans="1:28" x14ac:dyDescent="0.25">
      <c r="A72" s="165" t="s">
        <v>66</v>
      </c>
      <c r="B72" s="166"/>
      <c r="C72" s="78">
        <f t="shared" ref="C72:Q72" si="23">C58+C59</f>
        <v>113</v>
      </c>
      <c r="D72" s="78">
        <f t="shared" si="23"/>
        <v>124</v>
      </c>
      <c r="E72" s="78">
        <f t="shared" si="23"/>
        <v>141</v>
      </c>
      <c r="F72" s="78">
        <f t="shared" si="23"/>
        <v>180</v>
      </c>
      <c r="G72" s="78">
        <f t="shared" si="23"/>
        <v>169</v>
      </c>
      <c r="H72" s="78">
        <f t="shared" si="23"/>
        <v>184</v>
      </c>
      <c r="I72" s="78">
        <f t="shared" si="23"/>
        <v>146</v>
      </c>
      <c r="J72" s="78">
        <f t="shared" si="23"/>
        <v>145</v>
      </c>
      <c r="K72" s="78">
        <f t="shared" si="23"/>
        <v>102</v>
      </c>
      <c r="L72" s="78">
        <f t="shared" si="23"/>
        <v>121</v>
      </c>
      <c r="M72" s="78">
        <f t="shared" si="23"/>
        <v>93</v>
      </c>
      <c r="N72" s="78">
        <f t="shared" si="23"/>
        <v>75</v>
      </c>
      <c r="O72" s="78">
        <f t="shared" si="23"/>
        <v>58</v>
      </c>
      <c r="P72" s="78">
        <f t="shared" si="23"/>
        <v>88</v>
      </c>
      <c r="Q72" s="78">
        <f t="shared" si="23"/>
        <v>117</v>
      </c>
      <c r="R72" s="78">
        <f t="shared" ref="R72:Z72" si="24">R58+R59</f>
        <v>165</v>
      </c>
      <c r="S72" s="78">
        <f t="shared" si="24"/>
        <v>188</v>
      </c>
      <c r="T72" s="78">
        <f t="shared" si="24"/>
        <v>166</v>
      </c>
      <c r="U72" s="78">
        <f t="shared" si="24"/>
        <v>187</v>
      </c>
      <c r="V72" s="78">
        <f t="shared" si="24"/>
        <v>147</v>
      </c>
      <c r="W72" s="78">
        <f t="shared" si="24"/>
        <v>156</v>
      </c>
      <c r="X72" s="78">
        <f t="shared" si="24"/>
        <v>142</v>
      </c>
      <c r="Y72" s="78">
        <f t="shared" si="24"/>
        <v>114</v>
      </c>
      <c r="Z72" s="99">
        <f t="shared" si="24"/>
        <v>82</v>
      </c>
      <c r="AA72" s="116"/>
      <c r="AB72" s="149"/>
    </row>
    <row r="73" spans="1:28" x14ac:dyDescent="0.25">
      <c r="A73" s="98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111"/>
      <c r="AA73" s="123"/>
      <c r="AB73" s="149"/>
    </row>
    <row r="74" spans="1:28" x14ac:dyDescent="0.25">
      <c r="A74" s="169" t="s">
        <v>71</v>
      </c>
      <c r="B74" s="170"/>
      <c r="C74" s="77">
        <f t="shared" ref="C74:AA74" si="25">C2</f>
        <v>43131</v>
      </c>
      <c r="D74" s="77">
        <f t="shared" si="25"/>
        <v>43159</v>
      </c>
      <c r="E74" s="77">
        <f t="shared" si="25"/>
        <v>43190</v>
      </c>
      <c r="F74" s="77">
        <f t="shared" si="25"/>
        <v>43220</v>
      </c>
      <c r="G74" s="77">
        <f t="shared" si="25"/>
        <v>43251</v>
      </c>
      <c r="H74" s="77">
        <f t="shared" si="25"/>
        <v>43281</v>
      </c>
      <c r="I74" s="77">
        <f t="shared" si="25"/>
        <v>43312</v>
      </c>
      <c r="J74" s="77">
        <f t="shared" si="25"/>
        <v>43343</v>
      </c>
      <c r="K74" s="77">
        <f t="shared" si="25"/>
        <v>43373</v>
      </c>
      <c r="L74" s="77">
        <f t="shared" si="25"/>
        <v>43404</v>
      </c>
      <c r="M74" s="77">
        <f t="shared" si="25"/>
        <v>43434</v>
      </c>
      <c r="N74" s="77">
        <f t="shared" si="25"/>
        <v>43465</v>
      </c>
      <c r="O74" s="77">
        <f t="shared" si="25"/>
        <v>43496</v>
      </c>
      <c r="P74" s="77">
        <f t="shared" si="25"/>
        <v>43524</v>
      </c>
      <c r="Q74" s="77">
        <f t="shared" si="25"/>
        <v>43555</v>
      </c>
      <c r="R74" s="77">
        <f t="shared" ref="R74:Z74" si="26">R2</f>
        <v>43585</v>
      </c>
      <c r="S74" s="77">
        <f t="shared" si="26"/>
        <v>43616</v>
      </c>
      <c r="T74" s="77">
        <f t="shared" si="26"/>
        <v>43646</v>
      </c>
      <c r="U74" s="77">
        <f t="shared" si="26"/>
        <v>43677</v>
      </c>
      <c r="V74" s="77">
        <f t="shared" si="26"/>
        <v>43708</v>
      </c>
      <c r="W74" s="77">
        <f t="shared" si="26"/>
        <v>43738</v>
      </c>
      <c r="X74" s="77">
        <f t="shared" si="26"/>
        <v>43769</v>
      </c>
      <c r="Y74" s="77">
        <f t="shared" si="26"/>
        <v>43799</v>
      </c>
      <c r="Z74" s="107">
        <f t="shared" si="26"/>
        <v>43830</v>
      </c>
      <c r="AA74" s="114">
        <f t="shared" si="25"/>
        <v>43861</v>
      </c>
      <c r="AB74" s="149"/>
    </row>
    <row r="75" spans="1:28" x14ac:dyDescent="0.25">
      <c r="A75" s="165" t="s">
        <v>0</v>
      </c>
      <c r="B75" s="166"/>
      <c r="C75" s="84">
        <v>1202600</v>
      </c>
      <c r="D75" s="84">
        <v>1210600</v>
      </c>
      <c r="E75" s="84">
        <v>1221750</v>
      </c>
      <c r="F75" s="84">
        <v>1230000</v>
      </c>
      <c r="G75" s="84">
        <v>1233750</v>
      </c>
      <c r="H75" s="84">
        <v>1229000</v>
      </c>
      <c r="I75" s="84">
        <v>1222200</v>
      </c>
      <c r="J75" s="84">
        <v>1203500</v>
      </c>
      <c r="K75" s="84">
        <v>1189250</v>
      </c>
      <c r="L75" s="84">
        <v>1176600</v>
      </c>
      <c r="M75" s="84">
        <v>1159300</v>
      </c>
      <c r="N75" s="84">
        <v>1144350</v>
      </c>
      <c r="O75" s="84">
        <v>1127000</v>
      </c>
      <c r="P75" s="84">
        <v>1116200</v>
      </c>
      <c r="Q75" s="84">
        <v>1110350</v>
      </c>
      <c r="R75" s="84">
        <v>1110200</v>
      </c>
      <c r="S75" s="84">
        <v>1100650</v>
      </c>
      <c r="T75" s="84">
        <v>1099100</v>
      </c>
      <c r="U75" s="84">
        <v>1093500</v>
      </c>
      <c r="V75" s="84">
        <v>1089300</v>
      </c>
      <c r="W75" s="84">
        <v>1086850</v>
      </c>
      <c r="X75" s="84">
        <v>1091050</v>
      </c>
      <c r="Y75" s="84">
        <v>1094100</v>
      </c>
      <c r="Z75" s="105">
        <v>1100950</v>
      </c>
      <c r="AA75" s="120">
        <v>1106850</v>
      </c>
      <c r="AB75" s="149"/>
    </row>
    <row r="76" spans="1:28" x14ac:dyDescent="0.25">
      <c r="A76" s="165" t="s">
        <v>14</v>
      </c>
      <c r="B76" s="166"/>
      <c r="C76" s="84">
        <v>471200</v>
      </c>
      <c r="D76" s="84">
        <v>483400</v>
      </c>
      <c r="E76" s="84">
        <v>490100</v>
      </c>
      <c r="F76" s="84">
        <v>499600</v>
      </c>
      <c r="G76" s="84">
        <v>507700</v>
      </c>
      <c r="H76" s="84">
        <v>510300</v>
      </c>
      <c r="I76" s="84">
        <v>510700</v>
      </c>
      <c r="J76" s="84">
        <v>505800</v>
      </c>
      <c r="K76" s="84">
        <v>508800</v>
      </c>
      <c r="L76" s="84">
        <v>508200</v>
      </c>
      <c r="M76" s="84">
        <v>509500</v>
      </c>
      <c r="N76" s="84">
        <v>506300</v>
      </c>
      <c r="O76" s="84">
        <v>504500</v>
      </c>
      <c r="P76" s="84">
        <v>507800</v>
      </c>
      <c r="Q76" s="84">
        <v>510800</v>
      </c>
      <c r="R76" s="84">
        <v>517800</v>
      </c>
      <c r="S76" s="84">
        <v>512500</v>
      </c>
      <c r="T76" s="84">
        <v>514400</v>
      </c>
      <c r="U76" s="84">
        <v>513700</v>
      </c>
      <c r="V76" s="84">
        <v>515400</v>
      </c>
      <c r="W76" s="84">
        <v>523100</v>
      </c>
      <c r="X76" s="84">
        <v>521800</v>
      </c>
      <c r="Y76" s="84">
        <v>517100</v>
      </c>
      <c r="Z76" s="105">
        <v>518000</v>
      </c>
      <c r="AA76" s="120">
        <v>515400</v>
      </c>
      <c r="AB76" s="149"/>
    </row>
    <row r="77" spans="1:28" x14ac:dyDescent="0.25">
      <c r="A77" s="165" t="s">
        <v>69</v>
      </c>
      <c r="B77" s="166"/>
      <c r="C77" s="84">
        <v>546463</v>
      </c>
      <c r="D77" s="84">
        <v>534067</v>
      </c>
      <c r="E77" s="84">
        <v>571678</v>
      </c>
      <c r="F77" s="84">
        <v>586947</v>
      </c>
      <c r="G77" s="84">
        <v>582738</v>
      </c>
      <c r="H77" s="84">
        <v>604168</v>
      </c>
      <c r="I77" s="84">
        <v>641006</v>
      </c>
      <c r="J77" s="84">
        <v>568210</v>
      </c>
      <c r="K77" s="84">
        <v>581818</v>
      </c>
      <c r="L77" s="84">
        <v>541549</v>
      </c>
      <c r="M77" s="84">
        <v>528044</v>
      </c>
      <c r="N77" s="84">
        <v>532755</v>
      </c>
      <c r="O77" s="84">
        <v>512407</v>
      </c>
      <c r="P77" s="84">
        <v>512665</v>
      </c>
      <c r="Q77" s="84">
        <v>539565</v>
      </c>
      <c r="R77" s="84">
        <v>573955</v>
      </c>
      <c r="S77" s="84">
        <v>573926</v>
      </c>
      <c r="T77" s="84">
        <v>571864</v>
      </c>
      <c r="U77" s="84">
        <v>559366</v>
      </c>
      <c r="V77" s="84">
        <v>560980</v>
      </c>
      <c r="W77" s="84">
        <v>566090</v>
      </c>
      <c r="X77" s="84">
        <v>548137</v>
      </c>
      <c r="Y77" s="84">
        <v>615471</v>
      </c>
      <c r="Z77" s="105">
        <v>556127</v>
      </c>
      <c r="AA77" s="124">
        <v>0</v>
      </c>
      <c r="AB77" s="149"/>
    </row>
    <row r="78" spans="1:28" hidden="1" x14ac:dyDescent="0.25">
      <c r="A78" s="165" t="s">
        <v>24</v>
      </c>
      <c r="B78" s="166"/>
      <c r="C78" s="84">
        <v>411932</v>
      </c>
      <c r="D78" s="84">
        <v>483504</v>
      </c>
      <c r="E78" s="84">
        <v>452260</v>
      </c>
      <c r="F78" s="84">
        <v>430918</v>
      </c>
      <c r="G78" s="84">
        <v>421724</v>
      </c>
      <c r="H78" s="84">
        <v>393809</v>
      </c>
      <c r="I78" s="84">
        <v>456177</v>
      </c>
      <c r="J78" s="84">
        <v>411577</v>
      </c>
      <c r="K78" s="84">
        <v>412563</v>
      </c>
      <c r="L78" s="84">
        <v>0</v>
      </c>
      <c r="M78" s="84">
        <v>0</v>
      </c>
      <c r="N78" s="84">
        <v>0</v>
      </c>
      <c r="O78" s="84">
        <v>0</v>
      </c>
      <c r="P78" s="84">
        <v>0</v>
      </c>
      <c r="Q78" s="84">
        <v>0</v>
      </c>
      <c r="R78" s="84">
        <v>0</v>
      </c>
      <c r="S78" s="84">
        <v>0</v>
      </c>
      <c r="T78" s="84">
        <v>0</v>
      </c>
      <c r="U78" s="84">
        <v>0</v>
      </c>
      <c r="V78" s="84">
        <v>0</v>
      </c>
      <c r="W78" s="84">
        <v>0</v>
      </c>
      <c r="X78" s="84">
        <v>0</v>
      </c>
      <c r="Y78" s="84">
        <v>0</v>
      </c>
      <c r="Z78" s="105">
        <v>0</v>
      </c>
      <c r="AA78" s="116" t="s">
        <v>224</v>
      </c>
      <c r="AB78" s="149"/>
    </row>
    <row r="79" spans="1:28" x14ac:dyDescent="0.25">
      <c r="A79" s="165" t="s">
        <v>34</v>
      </c>
      <c r="B79" s="166"/>
      <c r="C79" s="84">
        <v>942500</v>
      </c>
      <c r="D79" s="84">
        <v>957737</v>
      </c>
      <c r="E79" s="84">
        <v>960000</v>
      </c>
      <c r="F79" s="84">
        <v>981000</v>
      </c>
      <c r="G79" s="84">
        <v>961675</v>
      </c>
      <c r="H79" s="84">
        <v>980000</v>
      </c>
      <c r="I79" s="84">
        <v>975000</v>
      </c>
      <c r="J79" s="84">
        <v>935000</v>
      </c>
      <c r="K79" s="84">
        <v>933000</v>
      </c>
      <c r="L79" s="84">
        <v>920000</v>
      </c>
      <c r="M79" s="84">
        <v>920000</v>
      </c>
      <c r="N79" s="84">
        <v>920000</v>
      </c>
      <c r="O79" s="84">
        <v>900000</v>
      </c>
      <c r="P79" s="84">
        <v>935000</v>
      </c>
      <c r="Q79" s="84">
        <v>930000</v>
      </c>
      <c r="R79" s="84">
        <v>932000</v>
      </c>
      <c r="S79" s="84">
        <v>925500</v>
      </c>
      <c r="T79" s="84">
        <v>937250</v>
      </c>
      <c r="U79" s="84">
        <v>909900</v>
      </c>
      <c r="V79" s="84">
        <v>920000</v>
      </c>
      <c r="W79" s="84">
        <v>936900</v>
      </c>
      <c r="X79" s="84">
        <v>925000</v>
      </c>
      <c r="Y79" s="84">
        <v>947000</v>
      </c>
      <c r="Z79" s="105">
        <v>970000</v>
      </c>
      <c r="AA79" s="120">
        <v>968000</v>
      </c>
      <c r="AB79" s="149"/>
    </row>
    <row r="80" spans="1:28" ht="15.75" thickBot="1" x14ac:dyDescent="0.3">
      <c r="A80" s="167" t="s">
        <v>66</v>
      </c>
      <c r="B80" s="168"/>
      <c r="C80" s="112">
        <v>491679</v>
      </c>
      <c r="D80" s="112">
        <v>521969</v>
      </c>
      <c r="E80" s="112">
        <v>463452</v>
      </c>
      <c r="F80" s="112">
        <v>590813</v>
      </c>
      <c r="G80" s="112">
        <v>574839</v>
      </c>
      <c r="H80" s="112">
        <v>546457</v>
      </c>
      <c r="I80" s="112">
        <v>549056</v>
      </c>
      <c r="J80" s="112">
        <v>491903</v>
      </c>
      <c r="K80" s="112">
        <v>453448</v>
      </c>
      <c r="L80" s="112">
        <v>596772</v>
      </c>
      <c r="M80" s="112">
        <v>520206</v>
      </c>
      <c r="N80" s="112">
        <v>505092</v>
      </c>
      <c r="O80" s="112">
        <v>475995</v>
      </c>
      <c r="P80" s="112">
        <v>513451</v>
      </c>
      <c r="Q80" s="112">
        <v>495562</v>
      </c>
      <c r="R80" s="112">
        <v>510506</v>
      </c>
      <c r="S80" s="112">
        <v>555219</v>
      </c>
      <c r="T80" s="112">
        <v>558478</v>
      </c>
      <c r="U80" s="112">
        <v>598552</v>
      </c>
      <c r="V80" s="112">
        <v>494349</v>
      </c>
      <c r="W80" s="112">
        <v>573315</v>
      </c>
      <c r="X80" s="112">
        <v>598714</v>
      </c>
      <c r="Y80" s="112">
        <v>512022</v>
      </c>
      <c r="Z80" s="129">
        <v>548070</v>
      </c>
      <c r="AA80" s="125">
        <v>0</v>
      </c>
      <c r="AB80" s="149"/>
    </row>
    <row r="81" spans="1:27" x14ac:dyDescent="0.25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</row>
  </sheetData>
  <mergeCells count="20">
    <mergeCell ref="A53:B53"/>
    <mergeCell ref="A2:B2"/>
    <mergeCell ref="A14:B14"/>
    <mergeCell ref="A21:B21"/>
    <mergeCell ref="A30:B30"/>
    <mergeCell ref="A39:B39"/>
    <mergeCell ref="A66:B66"/>
    <mergeCell ref="A67:B67"/>
    <mergeCell ref="A68:B68"/>
    <mergeCell ref="A69:B69"/>
    <mergeCell ref="A70:B70"/>
    <mergeCell ref="A77:B77"/>
    <mergeCell ref="A78:B78"/>
    <mergeCell ref="A79:B79"/>
    <mergeCell ref="A80:B80"/>
    <mergeCell ref="A71:B71"/>
    <mergeCell ref="A72:B72"/>
    <mergeCell ref="A74:B74"/>
    <mergeCell ref="A75:B75"/>
    <mergeCell ref="A76:B76"/>
  </mergeCells>
  <conditionalFormatting sqref="C68:AA68">
    <cfRule type="top10" dxfId="43" priority="66" bottom="1" rank="1"/>
    <cfRule type="top10" dxfId="42" priority="67" rank="1"/>
  </conditionalFormatting>
  <conditionalFormatting sqref="C69:Z69">
    <cfRule type="top10" dxfId="41" priority="64" bottom="1" rank="1"/>
    <cfRule type="top10" dxfId="40" priority="65" rank="1"/>
  </conditionalFormatting>
  <conditionalFormatting sqref="C71:AA71">
    <cfRule type="top10" priority="62" bottom="1" rank="1"/>
    <cfRule type="top10" dxfId="39" priority="63" rank="1"/>
  </conditionalFormatting>
  <conditionalFormatting sqref="C72:Z72">
    <cfRule type="top10" dxfId="38" priority="60" bottom="1" rank="1"/>
    <cfRule type="top10" dxfId="37" priority="61" rank="1"/>
  </conditionalFormatting>
  <conditionalFormatting sqref="C75:V75 X75:AA75">
    <cfRule type="top10" dxfId="36" priority="58" bottom="1" rank="1"/>
    <cfRule type="top10" dxfId="35" priority="59" rank="1"/>
  </conditionalFormatting>
  <conditionalFormatting sqref="C76:AA76">
    <cfRule type="top10" dxfId="34" priority="55" bottom="1" rank="1"/>
    <cfRule type="top10" priority="56" rank="1"/>
    <cfRule type="top10" dxfId="33" priority="57" rank="1"/>
  </conditionalFormatting>
  <conditionalFormatting sqref="C77:Z77">
    <cfRule type="top10" dxfId="32" priority="53" bottom="1" rank="1"/>
    <cfRule type="top10" dxfId="31" priority="54" rank="1"/>
  </conditionalFormatting>
  <conditionalFormatting sqref="C79:AA79">
    <cfRule type="top10" dxfId="30" priority="51" bottom="1" rank="1"/>
    <cfRule type="top10" dxfId="29" priority="52" rank="1"/>
  </conditionalFormatting>
  <conditionalFormatting sqref="C80:Z80">
    <cfRule type="top10" dxfId="28" priority="50" rank="1"/>
  </conditionalFormatting>
  <conditionalFormatting sqref="A69:XFD69">
    <cfRule type="top10" priority="40" bottom="1" rank="2"/>
  </conditionalFormatting>
  <conditionalFormatting sqref="A71:XFD71">
    <cfRule type="top10" dxfId="27" priority="37" bottom="1" rank="1"/>
    <cfRule type="top10" dxfId="26" priority="38" rank="1"/>
    <cfRule type="top10" priority="39" rank="1"/>
  </conditionalFormatting>
  <conditionalFormatting sqref="A72:XFD72">
    <cfRule type="top10" dxfId="25" priority="35" bottom="1" rank="1"/>
    <cfRule type="top10" dxfId="24" priority="36" rank="1"/>
  </conditionalFormatting>
  <conditionalFormatting sqref="A75:V75 X75:XFD75">
    <cfRule type="top10" dxfId="23" priority="33" bottom="1" rank="1"/>
    <cfRule type="top10" dxfId="22" priority="34" rank="1"/>
  </conditionalFormatting>
  <conditionalFormatting sqref="A76:XFD76">
    <cfRule type="top10" dxfId="21" priority="31" bottom="1" rank="1"/>
    <cfRule type="top10" dxfId="20" priority="32" rank="1"/>
  </conditionalFormatting>
  <conditionalFormatting sqref="A77:XFD77">
    <cfRule type="top10" dxfId="19" priority="29" bottom="1" rank="1"/>
    <cfRule type="top10" dxfId="18" priority="30" rank="1"/>
  </conditionalFormatting>
  <conditionalFormatting sqref="A79:XFD79">
    <cfRule type="top10" priority="27" bottom="1" rank="1"/>
    <cfRule type="top10" dxfId="17" priority="28" rank="1"/>
  </conditionalFormatting>
  <conditionalFormatting sqref="A80:XFD80">
    <cfRule type="top10" dxfId="16" priority="25" bottom="1" rank="2"/>
    <cfRule type="top10" dxfId="15" priority="26" rank="1"/>
  </conditionalFormatting>
  <conditionalFormatting sqref="C67:AA67">
    <cfRule type="top10" dxfId="14" priority="73" bottom="1" rank="1"/>
    <cfRule type="top10" dxfId="13" priority="74" rank="1"/>
    <cfRule type="top10" dxfId="12" priority="75" rank="1"/>
    <cfRule type="top10" priority="76" bottom="1" rank="1"/>
    <cfRule type="top10" priority="77" rank="10"/>
  </conditionalFormatting>
  <conditionalFormatting sqref="C17:AA17">
    <cfRule type="top10" dxfId="11" priority="78" bottom="1" rank="1"/>
    <cfRule type="top10" dxfId="10" priority="79" rank="1"/>
  </conditionalFormatting>
  <conditionalFormatting sqref="C67:AA67">
    <cfRule type="top10" dxfId="9" priority="80" bottom="1" rank="1"/>
    <cfRule type="top10" dxfId="8" priority="81" rank="1"/>
  </conditionalFormatting>
  <conditionalFormatting sqref="C68:AA68">
    <cfRule type="top10" dxfId="7" priority="82" bottom="1" rank="1"/>
    <cfRule type="top10" dxfId="6" priority="83" rank="1"/>
  </conditionalFormatting>
  <conditionalFormatting sqref="C69:AA69">
    <cfRule type="top10" dxfId="5" priority="84" bottom="1" rank="1"/>
    <cfRule type="top10" dxfId="4" priority="85" rank="1"/>
  </conditionalFormatting>
  <hyperlinks>
    <hyperlink ref="A51" r:id="rId1" xr:uid="{00000000-0004-0000-0100-000000000000}"/>
    <hyperlink ref="A20" r:id="rId2" xr:uid="{00000000-0004-0000-0100-000002000000}"/>
    <hyperlink ref="A29" r:id="rId3" xr:uid="{6FBFC611-2026-414E-B200-8CCE5BAD3A7E}"/>
    <hyperlink ref="A13" r:id="rId4" xr:uid="{E711AF82-46ED-43C5-9ACB-6BAA7FBCEEAC}"/>
    <hyperlink ref="A64" r:id="rId5" xr:uid="{CF99D7D7-E9F3-440B-A2DE-E3F0BACF248D}"/>
  </hyperlink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4DB7D-58D5-4470-961B-F5AE96BDBDCD}">
  <dimension ref="A1"/>
  <sheetViews>
    <sheetView workbookViewId="0">
      <selection activeCell="N11" sqref="N11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70"/>
  <sheetViews>
    <sheetView zoomScale="120" zoomScaleNormal="120" workbookViewId="0">
      <pane xSplit="1" topLeftCell="B1" activePane="topRight" state="frozen"/>
      <selection pane="topRight" activeCell="E22" sqref="E22"/>
    </sheetView>
  </sheetViews>
  <sheetFormatPr defaultColWidth="8.85546875" defaultRowHeight="15" x14ac:dyDescent="0.25"/>
  <cols>
    <col min="1" max="1" width="8.85546875" style="17"/>
    <col min="2" max="2" width="41.140625" style="17" bestFit="1" customWidth="1"/>
    <col min="3" max="3" width="7.28515625" customWidth="1"/>
    <col min="4" max="4" width="7" customWidth="1"/>
    <col min="5" max="5" width="7.42578125" customWidth="1"/>
    <col min="6" max="6" width="7" customWidth="1"/>
    <col min="7" max="7" width="10.5703125" customWidth="1"/>
    <col min="8" max="8" width="7.28515625" customWidth="1"/>
    <col min="9" max="10" width="7" customWidth="1"/>
    <col min="11" max="11" width="7.28515625" customWidth="1"/>
    <col min="12" max="24" width="8.85546875" customWidth="1"/>
    <col min="27" max="27" width="8.85546875" customWidth="1"/>
    <col min="1970" max="1970" width="2.5703125" customWidth="1"/>
  </cols>
  <sheetData>
    <row r="1" spans="1:27" ht="15.75" thickBot="1" x14ac:dyDescent="0.3"/>
    <row r="2" spans="1:27" x14ac:dyDescent="0.25">
      <c r="A2" s="135"/>
      <c r="B2" s="155"/>
      <c r="C2" s="136">
        <v>1</v>
      </c>
      <c r="D2" s="136">
        <v>2</v>
      </c>
      <c r="E2" s="136">
        <v>3</v>
      </c>
      <c r="F2" s="136">
        <v>4</v>
      </c>
      <c r="G2" s="136">
        <v>5</v>
      </c>
      <c r="H2" s="136">
        <v>6</v>
      </c>
      <c r="I2" s="136">
        <v>7</v>
      </c>
      <c r="J2" s="136">
        <v>8</v>
      </c>
      <c r="K2" s="136">
        <v>9</v>
      </c>
      <c r="L2" s="136">
        <v>10</v>
      </c>
      <c r="M2" s="136">
        <v>11</v>
      </c>
      <c r="N2" s="136">
        <v>12</v>
      </c>
      <c r="O2" s="136">
        <v>13</v>
      </c>
      <c r="P2" s="136">
        <v>14</v>
      </c>
      <c r="Q2" s="136">
        <v>15</v>
      </c>
      <c r="R2" s="136">
        <v>16</v>
      </c>
      <c r="S2" s="136">
        <v>17</v>
      </c>
      <c r="T2" s="136">
        <v>18</v>
      </c>
      <c r="U2" s="136">
        <v>19</v>
      </c>
      <c r="V2" s="136">
        <v>20</v>
      </c>
      <c r="W2" s="136">
        <v>21</v>
      </c>
      <c r="X2" s="136">
        <v>22</v>
      </c>
      <c r="Y2" s="136">
        <v>23</v>
      </c>
      <c r="Z2" s="136">
        <v>24</v>
      </c>
      <c r="AA2" s="137">
        <v>25</v>
      </c>
    </row>
    <row r="3" spans="1:27" ht="15.75" thickBot="1" x14ac:dyDescent="0.3">
      <c r="A3" s="138"/>
      <c r="B3" s="156"/>
      <c r="C3" s="130">
        <v>43131</v>
      </c>
      <c r="D3" s="130">
        <v>43159</v>
      </c>
      <c r="E3" s="130">
        <v>43190</v>
      </c>
      <c r="F3" s="130">
        <v>43220</v>
      </c>
      <c r="G3" s="130">
        <v>43251</v>
      </c>
      <c r="H3" s="130">
        <v>43281</v>
      </c>
      <c r="I3" s="130">
        <v>43312</v>
      </c>
      <c r="J3" s="130">
        <v>43343</v>
      </c>
      <c r="K3" s="130">
        <v>43373</v>
      </c>
      <c r="L3" s="130">
        <v>43404</v>
      </c>
      <c r="M3" s="130">
        <v>43434</v>
      </c>
      <c r="N3" s="130">
        <v>43465</v>
      </c>
      <c r="O3" s="130">
        <v>43496</v>
      </c>
      <c r="P3" s="130">
        <v>43524</v>
      </c>
      <c r="Q3" s="130">
        <v>43555</v>
      </c>
      <c r="R3" s="130">
        <v>43585</v>
      </c>
      <c r="S3" s="130">
        <v>43616</v>
      </c>
      <c r="T3" s="130">
        <v>43646</v>
      </c>
      <c r="U3" s="130">
        <v>43677</v>
      </c>
      <c r="V3" s="130">
        <v>43708</v>
      </c>
      <c r="W3" s="130">
        <v>43738</v>
      </c>
      <c r="X3" s="130">
        <v>43769</v>
      </c>
      <c r="Y3" s="130">
        <v>43799</v>
      </c>
      <c r="Z3" s="130">
        <v>43830</v>
      </c>
      <c r="AA3" s="139">
        <v>43861</v>
      </c>
    </row>
    <row r="4" spans="1:27" x14ac:dyDescent="0.25">
      <c r="A4" s="181" t="s">
        <v>32</v>
      </c>
      <c r="B4" s="161" t="s">
        <v>9</v>
      </c>
      <c r="C4" s="157">
        <v>1.25</v>
      </c>
      <c r="D4" s="58">
        <v>1.25</v>
      </c>
      <c r="E4" s="58">
        <v>1.25</v>
      </c>
      <c r="F4" s="58">
        <v>1.25</v>
      </c>
      <c r="G4" s="58">
        <v>1.25</v>
      </c>
      <c r="H4" s="58">
        <v>1.25</v>
      </c>
      <c r="I4" s="58">
        <v>1.5</v>
      </c>
      <c r="J4" s="58">
        <v>1.5</v>
      </c>
      <c r="K4" s="58">
        <v>1.5</v>
      </c>
      <c r="L4" s="58">
        <v>1.75</v>
      </c>
      <c r="M4" s="58">
        <v>1.75</v>
      </c>
      <c r="N4" s="58">
        <v>1.75</v>
      </c>
      <c r="O4" s="58">
        <v>1.75</v>
      </c>
      <c r="P4" s="58">
        <v>1.75</v>
      </c>
      <c r="Q4" s="58">
        <v>1.75</v>
      </c>
      <c r="R4" s="58">
        <v>1.75</v>
      </c>
      <c r="S4" s="58">
        <v>1.75</v>
      </c>
      <c r="T4" s="58">
        <v>1.75</v>
      </c>
      <c r="U4" s="58">
        <v>1.75</v>
      </c>
      <c r="V4" s="58">
        <v>1.75</v>
      </c>
      <c r="W4" s="58">
        <v>1.75</v>
      </c>
      <c r="X4" s="58">
        <v>1.75</v>
      </c>
      <c r="Y4" s="58">
        <v>1.75</v>
      </c>
      <c r="Z4" s="58">
        <v>1.75</v>
      </c>
      <c r="AA4" s="140">
        <v>1.75</v>
      </c>
    </row>
    <row r="5" spans="1:27" x14ac:dyDescent="0.25">
      <c r="A5" s="180"/>
      <c r="B5" s="162" t="s">
        <v>11</v>
      </c>
      <c r="C5" s="157">
        <v>131.69999999999999</v>
      </c>
      <c r="D5" s="58">
        <v>132.5</v>
      </c>
      <c r="E5" s="58">
        <v>132.9</v>
      </c>
      <c r="F5" s="58">
        <v>133.30000000000001</v>
      </c>
      <c r="G5" s="58">
        <v>133.4</v>
      </c>
      <c r="H5" s="58">
        <v>133.6</v>
      </c>
      <c r="I5" s="58">
        <v>134.30000000000001</v>
      </c>
      <c r="J5" s="58">
        <v>134.19999999999999</v>
      </c>
      <c r="K5" s="58">
        <v>133.69999999999999</v>
      </c>
      <c r="L5" s="58">
        <v>134.1</v>
      </c>
      <c r="M5" s="58">
        <v>133.5</v>
      </c>
      <c r="N5" s="58">
        <v>133.4</v>
      </c>
      <c r="O5" s="58">
        <v>133.6</v>
      </c>
      <c r="P5" s="58">
        <v>134.5</v>
      </c>
      <c r="Q5" s="58">
        <v>135.4</v>
      </c>
      <c r="R5" s="131">
        <v>136</v>
      </c>
      <c r="S5" s="131">
        <v>136.6</v>
      </c>
      <c r="T5" s="131">
        <v>136.30000000000001</v>
      </c>
      <c r="U5" s="131">
        <v>137</v>
      </c>
      <c r="V5" s="131">
        <v>136.80000000000001</v>
      </c>
      <c r="W5" s="131">
        <v>136.19999999999999</v>
      </c>
      <c r="X5" s="131">
        <v>136.6</v>
      </c>
      <c r="Y5" s="131">
        <v>136.4</v>
      </c>
      <c r="Z5" s="131">
        <v>136.4</v>
      </c>
      <c r="AA5" s="141">
        <f>FORECAST(AA2,$C$5:Z5,$C$2:Z2)</f>
        <v>137.26050724637685</v>
      </c>
    </row>
    <row r="6" spans="1:27" x14ac:dyDescent="0.25">
      <c r="A6" s="180"/>
      <c r="B6" s="162" t="s">
        <v>225</v>
      </c>
      <c r="C6" s="157">
        <v>1.2293000000000001</v>
      </c>
      <c r="D6" s="58">
        <v>1.2808999999999999</v>
      </c>
      <c r="E6" s="58">
        <v>1.2894000000000001</v>
      </c>
      <c r="F6" s="58">
        <v>1.2836000000000001</v>
      </c>
      <c r="G6" s="58">
        <v>1.2948</v>
      </c>
      <c r="H6" s="58">
        <v>1.3168</v>
      </c>
      <c r="I6" s="58">
        <v>1.3017000000000001</v>
      </c>
      <c r="J6" s="58">
        <v>1.3055000000000001</v>
      </c>
      <c r="K6" s="58">
        <v>1.2945</v>
      </c>
      <c r="L6" s="58">
        <v>1.3142</v>
      </c>
      <c r="M6" s="58">
        <v>1.3301000000000001</v>
      </c>
      <c r="N6" s="58">
        <v>1.3642000000000001</v>
      </c>
      <c r="O6" s="58">
        <v>1.3144</v>
      </c>
      <c r="P6" s="58">
        <v>1.3169</v>
      </c>
      <c r="Q6" s="58">
        <v>1.3363</v>
      </c>
      <c r="R6" s="58">
        <v>1.3423</v>
      </c>
      <c r="S6" s="58">
        <v>1.3527</v>
      </c>
      <c r="T6" s="58">
        <v>1.3087</v>
      </c>
      <c r="U6" s="58">
        <v>1.3148</v>
      </c>
      <c r="V6" s="58">
        <v>1.3294999999999999</v>
      </c>
      <c r="W6" s="58">
        <v>1.3244</v>
      </c>
      <c r="X6" s="58">
        <v>1.3160000000000001</v>
      </c>
      <c r="Y6" s="58">
        <v>1.3289</v>
      </c>
      <c r="Z6" s="58">
        <v>1.2988</v>
      </c>
      <c r="AA6" s="140">
        <v>1.3232999999999999</v>
      </c>
    </row>
    <row r="7" spans="1:27" x14ac:dyDescent="0.25">
      <c r="A7" s="180"/>
      <c r="B7" s="162" t="s">
        <v>12</v>
      </c>
      <c r="C7" s="157">
        <v>5.9</v>
      </c>
      <c r="D7" s="58">
        <v>5.8</v>
      </c>
      <c r="E7" s="58">
        <v>5.8</v>
      </c>
      <c r="F7" s="58">
        <v>5.8</v>
      </c>
      <c r="G7" s="58">
        <v>5.8</v>
      </c>
      <c r="H7" s="58">
        <v>6</v>
      </c>
      <c r="I7" s="58">
        <v>5.8</v>
      </c>
      <c r="J7" s="58">
        <v>6</v>
      </c>
      <c r="K7" s="58">
        <v>5.9</v>
      </c>
      <c r="L7" s="58">
        <v>5.8</v>
      </c>
      <c r="M7" s="58">
        <v>5.6</v>
      </c>
      <c r="N7" s="58">
        <v>5.6</v>
      </c>
      <c r="O7" s="58">
        <v>5.8</v>
      </c>
      <c r="P7" s="58">
        <v>5.8</v>
      </c>
      <c r="Q7" s="58">
        <v>5.8</v>
      </c>
      <c r="R7" s="58">
        <v>5.7</v>
      </c>
      <c r="S7" s="58">
        <v>5.4</v>
      </c>
      <c r="T7" s="58">
        <v>5.5</v>
      </c>
      <c r="U7" s="58">
        <v>5.7</v>
      </c>
      <c r="V7" s="58">
        <v>5.7</v>
      </c>
      <c r="W7" s="58">
        <v>5.5</v>
      </c>
      <c r="X7" s="58">
        <v>5.6</v>
      </c>
      <c r="Y7" s="58">
        <v>5.9</v>
      </c>
      <c r="Z7" s="58">
        <v>5.6</v>
      </c>
      <c r="AA7" s="140"/>
    </row>
    <row r="8" spans="1:27" x14ac:dyDescent="0.25">
      <c r="A8" s="180"/>
      <c r="B8" s="162" t="s">
        <v>226</v>
      </c>
      <c r="C8" s="158">
        <v>13122</v>
      </c>
      <c r="D8" s="132">
        <v>14697</v>
      </c>
      <c r="E8" s="132">
        <v>14280</v>
      </c>
      <c r="F8" s="132">
        <v>15962</v>
      </c>
      <c r="G8" s="132">
        <v>15985</v>
      </c>
      <c r="H8" s="132">
        <v>20953</v>
      </c>
      <c r="I8" s="132">
        <v>16774</v>
      </c>
      <c r="J8" s="132">
        <v>15666</v>
      </c>
      <c r="K8" s="132">
        <v>16735</v>
      </c>
      <c r="L8" s="132">
        <v>17179</v>
      </c>
      <c r="M8" s="132">
        <v>18346</v>
      </c>
      <c r="N8" s="132">
        <v>16954</v>
      </c>
      <c r="O8" s="132">
        <v>12457</v>
      </c>
      <c r="P8" s="132">
        <v>10265</v>
      </c>
      <c r="Q8" s="132">
        <v>12853</v>
      </c>
      <c r="R8" s="132">
        <v>18166</v>
      </c>
      <c r="S8" s="132">
        <v>16409</v>
      </c>
      <c r="T8" s="132">
        <v>21548</v>
      </c>
      <c r="U8" s="132">
        <v>18073</v>
      </c>
      <c r="V8" s="132">
        <v>17713</v>
      </c>
      <c r="W8" s="132">
        <v>19139</v>
      </c>
      <c r="X8" s="132">
        <v>17060</v>
      </c>
      <c r="Y8" s="132">
        <v>17108</v>
      </c>
      <c r="Z8" s="132">
        <v>15772</v>
      </c>
      <c r="AA8" s="142"/>
    </row>
    <row r="9" spans="1:27" x14ac:dyDescent="0.25">
      <c r="A9" s="179" t="s">
        <v>31</v>
      </c>
      <c r="B9" s="162" t="s">
        <v>11</v>
      </c>
      <c r="C9" s="157">
        <v>126.1</v>
      </c>
      <c r="D9" s="58">
        <v>127</v>
      </c>
      <c r="E9" s="58">
        <v>127.4</v>
      </c>
      <c r="F9" s="58">
        <v>127.7</v>
      </c>
      <c r="G9" s="58">
        <v>128.4</v>
      </c>
      <c r="H9" s="58">
        <v>128.6</v>
      </c>
      <c r="I9" s="58">
        <v>129.69999999999999</v>
      </c>
      <c r="J9" s="58">
        <v>129.6</v>
      </c>
      <c r="K9" s="58">
        <v>128.9</v>
      </c>
      <c r="L9" s="58">
        <v>128.9</v>
      </c>
      <c r="M9" s="58">
        <v>129.4</v>
      </c>
      <c r="N9" s="58">
        <v>128.9</v>
      </c>
      <c r="O9" s="58">
        <v>129.1</v>
      </c>
      <c r="P9" s="58">
        <v>129.80000000000001</v>
      </c>
      <c r="Q9" s="58">
        <v>130.69999999999999</v>
      </c>
      <c r="R9" s="58">
        <v>131.19999999999999</v>
      </c>
      <c r="S9" s="58">
        <v>131.80000000000001</v>
      </c>
      <c r="T9" s="58">
        <v>131.9</v>
      </c>
      <c r="U9" s="58">
        <v>132.4</v>
      </c>
      <c r="V9" s="58">
        <v>132.19999999999999</v>
      </c>
      <c r="W9" s="58">
        <v>132</v>
      </c>
      <c r="X9" s="58">
        <v>132.19999999999999</v>
      </c>
      <c r="Y9" s="58">
        <v>131.80000000000001</v>
      </c>
      <c r="Z9" s="58">
        <v>131.69999999999999</v>
      </c>
      <c r="AA9" s="140">
        <f>FORECAST( AA2,$C$9:Y9,$C$2:Y2)</f>
        <v>133.20049407114624</v>
      </c>
    </row>
    <row r="10" spans="1:27" x14ac:dyDescent="0.25">
      <c r="A10" s="179"/>
      <c r="B10" s="162" t="s">
        <v>12</v>
      </c>
      <c r="C10" s="157">
        <v>4.8</v>
      </c>
      <c r="D10" s="58">
        <v>4.7</v>
      </c>
      <c r="E10" s="58">
        <v>4.7</v>
      </c>
      <c r="F10" s="58">
        <v>5</v>
      </c>
      <c r="G10" s="58">
        <v>4.8</v>
      </c>
      <c r="H10" s="58">
        <v>5.2</v>
      </c>
      <c r="I10" s="58">
        <v>5</v>
      </c>
      <c r="J10" s="58">
        <v>5.3</v>
      </c>
      <c r="K10" s="58">
        <v>4.2</v>
      </c>
      <c r="L10" s="58">
        <v>4.0999999999999996</v>
      </c>
      <c r="M10" s="58">
        <v>4.4000000000000004</v>
      </c>
      <c r="N10" s="58">
        <v>4.4000000000000004</v>
      </c>
      <c r="O10" s="58">
        <v>4.7</v>
      </c>
      <c r="P10" s="58">
        <v>4.5</v>
      </c>
      <c r="Q10" s="58">
        <v>4.7</v>
      </c>
      <c r="R10" s="58">
        <v>4.5999999999999996</v>
      </c>
      <c r="S10" s="58">
        <v>4.3</v>
      </c>
      <c r="T10" s="58">
        <v>4.5</v>
      </c>
      <c r="U10" s="58">
        <v>4.4000000000000004</v>
      </c>
      <c r="V10" s="58">
        <v>5</v>
      </c>
      <c r="W10" s="58">
        <v>4.8</v>
      </c>
      <c r="X10" s="58">
        <v>4.8</v>
      </c>
      <c r="Y10" s="133">
        <v>5</v>
      </c>
      <c r="Z10" s="133">
        <v>4.8</v>
      </c>
      <c r="AA10" s="143"/>
    </row>
    <row r="11" spans="1:27" x14ac:dyDescent="0.25">
      <c r="A11" s="179"/>
      <c r="B11" s="162" t="s">
        <v>226</v>
      </c>
      <c r="C11" s="158">
        <v>3259</v>
      </c>
      <c r="D11" s="132">
        <v>2437</v>
      </c>
      <c r="E11" s="132">
        <v>3746</v>
      </c>
      <c r="F11" s="132">
        <v>3292</v>
      </c>
      <c r="G11" s="132">
        <v>3487</v>
      </c>
      <c r="H11" s="132">
        <v>2963</v>
      </c>
      <c r="I11" s="132">
        <v>3538</v>
      </c>
      <c r="J11" s="132">
        <v>3812</v>
      </c>
      <c r="K11" s="132">
        <v>2237</v>
      </c>
      <c r="L11" s="132">
        <v>2523</v>
      </c>
      <c r="M11" s="132">
        <v>3205</v>
      </c>
      <c r="N11" s="132">
        <v>3941</v>
      </c>
      <c r="O11" s="132">
        <v>3159</v>
      </c>
      <c r="P11" s="132">
        <v>2848</v>
      </c>
      <c r="Q11" s="132">
        <v>2594</v>
      </c>
      <c r="R11" s="132">
        <v>4312</v>
      </c>
      <c r="S11" s="132">
        <v>4566</v>
      </c>
      <c r="T11" s="132">
        <v>5110</v>
      </c>
      <c r="U11" s="132">
        <v>4177</v>
      </c>
      <c r="V11" s="132">
        <v>2952</v>
      </c>
      <c r="W11" s="132">
        <v>3382</v>
      </c>
      <c r="X11" s="132">
        <v>2731</v>
      </c>
      <c r="Y11" s="134">
        <v>3952</v>
      </c>
      <c r="Z11" s="132">
        <v>3431</v>
      </c>
      <c r="AA11" s="144"/>
    </row>
    <row r="12" spans="1:27" x14ac:dyDescent="0.25">
      <c r="A12" s="138"/>
      <c r="B12" s="162"/>
      <c r="C12" s="157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140"/>
    </row>
    <row r="13" spans="1:27" x14ac:dyDescent="0.25">
      <c r="A13" s="138"/>
      <c r="B13" s="163" t="s">
        <v>227</v>
      </c>
      <c r="C13" s="159">
        <v>43131</v>
      </c>
      <c r="D13" s="130">
        <v>43159</v>
      </c>
      <c r="E13" s="130">
        <v>43190</v>
      </c>
      <c r="F13" s="130">
        <v>43220</v>
      </c>
      <c r="G13" s="130">
        <v>43251</v>
      </c>
      <c r="H13" s="130">
        <v>43281</v>
      </c>
      <c r="I13" s="130">
        <v>43312</v>
      </c>
      <c r="J13" s="130">
        <v>43343</v>
      </c>
      <c r="K13" s="130">
        <v>43373</v>
      </c>
      <c r="L13" s="130">
        <v>43404</v>
      </c>
      <c r="M13" s="130">
        <v>43434</v>
      </c>
      <c r="N13" s="130">
        <v>43465</v>
      </c>
      <c r="O13" s="130">
        <v>43496</v>
      </c>
      <c r="P13" s="130">
        <v>43524</v>
      </c>
      <c r="Q13" s="130">
        <v>43555</v>
      </c>
      <c r="R13" s="130">
        <v>43585</v>
      </c>
      <c r="S13" s="130">
        <v>43616</v>
      </c>
      <c r="T13" s="130">
        <v>43646</v>
      </c>
      <c r="U13" s="130">
        <v>43677</v>
      </c>
      <c r="V13" s="130">
        <v>43708</v>
      </c>
      <c r="W13" s="130">
        <v>43738</v>
      </c>
      <c r="X13" s="130">
        <v>43769</v>
      </c>
      <c r="Y13" s="130">
        <v>43799</v>
      </c>
      <c r="Z13" s="130">
        <v>43830</v>
      </c>
      <c r="AA13" s="139">
        <v>43861</v>
      </c>
    </row>
    <row r="14" spans="1:27" x14ac:dyDescent="0.25">
      <c r="A14" s="180" t="s">
        <v>32</v>
      </c>
      <c r="B14" s="162" t="s">
        <v>228</v>
      </c>
      <c r="C14" s="158">
        <v>3534</v>
      </c>
      <c r="D14" s="132">
        <v>3164</v>
      </c>
      <c r="E14" s="132">
        <v>3703</v>
      </c>
      <c r="F14" s="132">
        <v>4421</v>
      </c>
      <c r="G14" s="132">
        <v>5525</v>
      </c>
      <c r="H14" s="132">
        <v>5860</v>
      </c>
      <c r="I14" s="132">
        <v>5342</v>
      </c>
      <c r="J14" s="132">
        <v>4743</v>
      </c>
      <c r="K14" s="132">
        <v>5025</v>
      </c>
      <c r="L14" s="132">
        <v>4160</v>
      </c>
      <c r="M14" s="132">
        <v>4663</v>
      </c>
      <c r="N14" s="132">
        <v>4040</v>
      </c>
      <c r="O14" s="132">
        <v>2353</v>
      </c>
      <c r="P14" s="132">
        <v>2026</v>
      </c>
      <c r="Q14" s="132">
        <v>2543</v>
      </c>
      <c r="R14" s="132">
        <v>3564</v>
      </c>
      <c r="S14" s="132">
        <v>4401</v>
      </c>
      <c r="T14" s="132">
        <v>5232</v>
      </c>
      <c r="U14" s="132">
        <v>4608</v>
      </c>
      <c r="V14" s="132">
        <v>4910</v>
      </c>
      <c r="W14" s="132">
        <v>4716</v>
      </c>
      <c r="X14" s="132">
        <v>4359</v>
      </c>
      <c r="Y14" s="132">
        <v>4323</v>
      </c>
      <c r="Z14" s="132">
        <v>3874</v>
      </c>
      <c r="AA14" s="142"/>
    </row>
    <row r="15" spans="1:27" x14ac:dyDescent="0.25">
      <c r="A15" s="180"/>
      <c r="B15" s="162" t="s">
        <v>229</v>
      </c>
      <c r="C15" s="158">
        <v>7401</v>
      </c>
      <c r="D15" s="132">
        <v>9614</v>
      </c>
      <c r="E15" s="132">
        <v>8238</v>
      </c>
      <c r="F15" s="132">
        <v>9050</v>
      </c>
      <c r="G15" s="132">
        <v>7489</v>
      </c>
      <c r="H15" s="132">
        <v>12017</v>
      </c>
      <c r="I15" s="132">
        <v>8896</v>
      </c>
      <c r="J15" s="132">
        <v>8189</v>
      </c>
      <c r="K15" s="132">
        <v>8469</v>
      </c>
      <c r="L15" s="132">
        <v>10052</v>
      </c>
      <c r="M15" s="132">
        <v>10324</v>
      </c>
      <c r="N15" s="132">
        <v>10081</v>
      </c>
      <c r="O15" s="132">
        <v>7831</v>
      </c>
      <c r="P15" s="132">
        <v>6393</v>
      </c>
      <c r="Q15" s="132">
        <v>8331</v>
      </c>
      <c r="R15" s="132">
        <v>11316</v>
      </c>
      <c r="S15" s="132">
        <v>9192</v>
      </c>
      <c r="T15" s="132">
        <v>13203</v>
      </c>
      <c r="U15" s="132">
        <v>10598</v>
      </c>
      <c r="V15" s="132">
        <v>9523</v>
      </c>
      <c r="W15" s="132">
        <v>11173</v>
      </c>
      <c r="X15" s="132">
        <v>9820</v>
      </c>
      <c r="Y15" s="132">
        <v>9440</v>
      </c>
      <c r="Z15" s="132">
        <v>8844</v>
      </c>
      <c r="AA15" s="142"/>
    </row>
    <row r="16" spans="1:27" x14ac:dyDescent="0.25">
      <c r="A16" s="179" t="s">
        <v>31</v>
      </c>
      <c r="B16" s="162" t="s">
        <v>230</v>
      </c>
      <c r="C16" s="157">
        <v>747</v>
      </c>
      <c r="D16" s="58">
        <v>544</v>
      </c>
      <c r="E16" s="58">
        <v>666</v>
      </c>
      <c r="F16" s="58">
        <v>831</v>
      </c>
      <c r="G16" s="132">
        <v>875</v>
      </c>
      <c r="H16" s="58">
        <v>908</v>
      </c>
      <c r="I16" s="132">
        <v>877</v>
      </c>
      <c r="J16" s="58">
        <v>794</v>
      </c>
      <c r="K16" s="58">
        <v>805</v>
      </c>
      <c r="L16" s="58">
        <v>658</v>
      </c>
      <c r="M16" s="58">
        <v>826</v>
      </c>
      <c r="N16" s="58">
        <v>725</v>
      </c>
      <c r="O16" s="58">
        <v>468</v>
      </c>
      <c r="P16" s="58">
        <v>418</v>
      </c>
      <c r="Q16" s="132">
        <v>516</v>
      </c>
      <c r="R16" s="132">
        <v>752</v>
      </c>
      <c r="S16" s="132">
        <v>723</v>
      </c>
      <c r="T16" s="58">
        <v>778</v>
      </c>
      <c r="U16" s="132">
        <v>682</v>
      </c>
      <c r="V16" s="58">
        <v>662</v>
      </c>
      <c r="W16" s="132">
        <v>653</v>
      </c>
      <c r="X16" s="58">
        <v>623</v>
      </c>
      <c r="Y16" s="58">
        <v>586</v>
      </c>
      <c r="Z16" s="58">
        <v>490</v>
      </c>
      <c r="AA16" s="140"/>
    </row>
    <row r="17" spans="1:27" x14ac:dyDescent="0.25">
      <c r="A17" s="179"/>
      <c r="B17" s="162" t="s">
        <v>231</v>
      </c>
      <c r="C17" s="158">
        <v>1988</v>
      </c>
      <c r="D17" s="132">
        <v>1539</v>
      </c>
      <c r="E17" s="132">
        <v>2692</v>
      </c>
      <c r="F17" s="132">
        <v>2138</v>
      </c>
      <c r="G17" s="132">
        <v>2205</v>
      </c>
      <c r="H17" s="132">
        <v>1632</v>
      </c>
      <c r="I17" s="132">
        <v>2275</v>
      </c>
      <c r="J17" s="132">
        <v>2635</v>
      </c>
      <c r="K17" s="132">
        <v>871</v>
      </c>
      <c r="L17" s="132">
        <v>1471</v>
      </c>
      <c r="M17" s="132">
        <v>1857</v>
      </c>
      <c r="N17" s="132">
        <v>2610</v>
      </c>
      <c r="O17" s="132">
        <v>2248</v>
      </c>
      <c r="P17" s="132">
        <v>2075</v>
      </c>
      <c r="Q17" s="132">
        <v>1736</v>
      </c>
      <c r="R17" s="132">
        <v>3031</v>
      </c>
      <c r="S17" s="132">
        <v>3427</v>
      </c>
      <c r="T17" s="132">
        <v>3842</v>
      </c>
      <c r="U17" s="132">
        <v>2913</v>
      </c>
      <c r="V17" s="132">
        <v>1846</v>
      </c>
      <c r="W17" s="132">
        <v>2221</v>
      </c>
      <c r="X17" s="132">
        <v>1651</v>
      </c>
      <c r="Y17" s="132">
        <v>2935</v>
      </c>
      <c r="Z17" s="132">
        <v>2399</v>
      </c>
      <c r="AA17" s="142"/>
    </row>
    <row r="18" spans="1:27" ht="15.75" thickBot="1" x14ac:dyDescent="0.3">
      <c r="A18" s="145" t="s">
        <v>32</v>
      </c>
      <c r="B18" s="164" t="s">
        <v>232</v>
      </c>
      <c r="C18" s="160">
        <v>4.1399999999999997</v>
      </c>
      <c r="D18" s="146">
        <v>4.26</v>
      </c>
      <c r="E18" s="146">
        <v>4.2699999999999996</v>
      </c>
      <c r="F18" s="146">
        <v>4.2699999999999996</v>
      </c>
      <c r="G18" s="146">
        <v>4.3499999999999996</v>
      </c>
      <c r="H18" s="146">
        <v>4.32</v>
      </c>
      <c r="I18" s="146">
        <v>4.42</v>
      </c>
      <c r="J18" s="146">
        <v>4.43</v>
      </c>
      <c r="K18" s="146">
        <v>4.43</v>
      </c>
      <c r="L18" s="146">
        <v>4.4800000000000004</v>
      </c>
      <c r="M18" s="146">
        <v>4.38</v>
      </c>
      <c r="N18" s="146">
        <v>4.59</v>
      </c>
      <c r="O18" s="146">
        <v>4.59</v>
      </c>
      <c r="P18" s="146">
        <v>4.5199999999999996</v>
      </c>
      <c r="Q18" s="147">
        <v>4.4400000000000004</v>
      </c>
      <c r="R18" s="147">
        <v>4.33</v>
      </c>
      <c r="S18" s="147">
        <v>4.3</v>
      </c>
      <c r="T18" s="147">
        <v>4.2300000000000004</v>
      </c>
      <c r="U18" s="147">
        <v>4.1399999999999997</v>
      </c>
      <c r="V18" s="147">
        <v>4.08</v>
      </c>
      <c r="W18" s="147">
        <v>4.07</v>
      </c>
      <c r="X18" s="147">
        <v>4.09</v>
      </c>
      <c r="Y18" s="147">
        <v>4.09</v>
      </c>
      <c r="Z18" s="147">
        <v>4.08</v>
      </c>
      <c r="AA18" s="148">
        <f>FORECAST( AA2,$C$18:Z18,$C$2:Z2)</f>
        <v>4.1851449275362311</v>
      </c>
    </row>
    <row r="22" spans="1:27" x14ac:dyDescent="0.25">
      <c r="Q22" s="2"/>
      <c r="R22" s="2"/>
      <c r="S22" s="2"/>
      <c r="U22" s="2"/>
      <c r="W22" s="2"/>
    </row>
    <row r="23" spans="1:27" x14ac:dyDescent="0.25"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5"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5">
      <c r="Y25" s="2"/>
    </row>
    <row r="26" spans="1:27" x14ac:dyDescent="0.25">
      <c r="O26" s="2"/>
      <c r="Q26" s="2"/>
      <c r="R26" s="2"/>
      <c r="S26" s="2"/>
      <c r="T26" s="2"/>
      <c r="V26" s="2"/>
      <c r="W26" s="2"/>
      <c r="X26" s="2"/>
      <c r="Y26" s="2"/>
      <c r="Z26" s="2"/>
      <c r="AA26" s="2"/>
    </row>
    <row r="39" spans="13:13" x14ac:dyDescent="0.25">
      <c r="M39" s="18"/>
    </row>
    <row r="55" spans="1:2" x14ac:dyDescent="0.25">
      <c r="A55" t="s">
        <v>8</v>
      </c>
      <c r="B55"/>
    </row>
    <row r="56" spans="1:2" x14ac:dyDescent="0.25">
      <c r="A56" s="5" t="s">
        <v>10</v>
      </c>
      <c r="B56" s="5"/>
    </row>
    <row r="57" spans="1:2" x14ac:dyDescent="0.25">
      <c r="A57" s="5" t="s">
        <v>38</v>
      </c>
      <c r="B57" s="5"/>
    </row>
    <row r="58" spans="1:2" x14ac:dyDescent="0.25">
      <c r="A58" s="5" t="s">
        <v>39</v>
      </c>
      <c r="B58" s="5"/>
    </row>
    <row r="59" spans="1:2" x14ac:dyDescent="0.25">
      <c r="A59" s="5" t="s">
        <v>40</v>
      </c>
      <c r="B59" s="5"/>
    </row>
    <row r="60" spans="1:2" x14ac:dyDescent="0.25">
      <c r="A60" s="5" t="s">
        <v>42</v>
      </c>
      <c r="B60" s="5"/>
    </row>
    <row r="61" spans="1:2" x14ac:dyDescent="0.25">
      <c r="A61" s="5" t="s">
        <v>86</v>
      </c>
      <c r="B61" s="5"/>
    </row>
    <row r="62" spans="1:2" x14ac:dyDescent="0.25">
      <c r="A62" s="5" t="s">
        <v>41</v>
      </c>
      <c r="B62" s="5"/>
    </row>
    <row r="63" spans="1:2" x14ac:dyDescent="0.25">
      <c r="A63" s="5" t="s">
        <v>13</v>
      </c>
      <c r="B63" s="5"/>
    </row>
    <row r="64" spans="1:2" x14ac:dyDescent="0.25">
      <c r="A64"/>
      <c r="B64"/>
    </row>
    <row r="65" spans="1:2" x14ac:dyDescent="0.25">
      <c r="A65" t="s">
        <v>8</v>
      </c>
      <c r="B65"/>
    </row>
    <row r="66" spans="1:2" x14ac:dyDescent="0.25">
      <c r="A66" s="5" t="s">
        <v>13</v>
      </c>
      <c r="B66" s="5"/>
    </row>
    <row r="67" spans="1:2" x14ac:dyDescent="0.25">
      <c r="A67" s="5" t="s">
        <v>13</v>
      </c>
      <c r="B67" s="5"/>
    </row>
    <row r="68" spans="1:2" x14ac:dyDescent="0.25">
      <c r="A68" s="5" t="s">
        <v>84</v>
      </c>
      <c r="B68" s="5"/>
    </row>
    <row r="69" spans="1:2" x14ac:dyDescent="0.25">
      <c r="A69" s="5" t="s">
        <v>65</v>
      </c>
      <c r="B69" s="5"/>
    </row>
    <row r="70" spans="1:2" x14ac:dyDescent="0.25">
      <c r="A70" s="5" t="s">
        <v>33</v>
      </c>
      <c r="B70" s="5"/>
    </row>
  </sheetData>
  <mergeCells count="4">
    <mergeCell ref="A16:A17"/>
    <mergeCell ref="A14:A15"/>
    <mergeCell ref="A9:A11"/>
    <mergeCell ref="A4:A8"/>
  </mergeCells>
  <hyperlinks>
    <hyperlink ref="A56" r:id="rId1" xr:uid="{00000000-0004-0000-0200-000000000000}"/>
    <hyperlink ref="A57" r:id="rId2" xr:uid="{00000000-0004-0000-0200-000001000000}"/>
    <hyperlink ref="A58" r:id="rId3" xr:uid="{00000000-0004-0000-0200-000002000000}"/>
    <hyperlink ref="A59" r:id="rId4" xr:uid="{00000000-0004-0000-0200-000003000000}"/>
    <hyperlink ref="A60" r:id="rId5" xr:uid="{00000000-0004-0000-0200-000004000000}"/>
    <hyperlink ref="A70" r:id="rId6" xr:uid="{00000000-0004-0000-0200-000007000000}"/>
    <hyperlink ref="A69" r:id="rId7" xr:uid="{4EBB7BE5-3024-44BE-B074-8B8478148C04}"/>
    <hyperlink ref="A62" r:id="rId8" xr:uid="{CE35168F-C818-48DE-BD44-232D9E08438D}"/>
    <hyperlink ref="A63" r:id="rId9" location="customizeTab" xr:uid="{81EDEEAC-703A-4761-BA86-AC26C7486B61}"/>
    <hyperlink ref="A66" r:id="rId10" location="customizeTab" xr:uid="{D50177E9-9897-4B4D-A19F-8056BE5D83D5}"/>
    <hyperlink ref="A67" r:id="rId11" location="customizeTab" xr:uid="{E837F488-373C-4657-B91A-85AE5F29B53B}"/>
    <hyperlink ref="A61" r:id="rId12" xr:uid="{0420F204-60EA-49FB-8DF7-A956006BA2DE}"/>
    <hyperlink ref="A68" r:id="rId13" xr:uid="{E8FC4314-E97B-4F61-862B-7FC1D83E1724}"/>
  </hyperlinks>
  <pageMargins left="0.7" right="0.7" top="0.75" bottom="0.75" header="0.3" footer="0.3"/>
  <pageSetup orientation="portrait" horizontalDpi="4294967293" verticalDpi="4294967293" r:id="rId1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8D687-7F4F-4ECF-986F-3F9D707A2636}">
  <dimension ref="C3:N29"/>
  <sheetViews>
    <sheetView topLeftCell="C1" zoomScaleNormal="100" workbookViewId="0">
      <selection activeCell="C5" sqref="C5"/>
    </sheetView>
  </sheetViews>
  <sheetFormatPr defaultRowHeight="15" x14ac:dyDescent="0.25"/>
  <cols>
    <col min="2" max="2" width="15" bestFit="1" customWidth="1"/>
    <col min="3" max="3" width="20.140625" bestFit="1" customWidth="1"/>
    <col min="4" max="4" width="15" bestFit="1" customWidth="1"/>
    <col min="6" max="6" width="18.140625" bestFit="1" customWidth="1"/>
  </cols>
  <sheetData>
    <row r="3" spans="3:11" x14ac:dyDescent="0.25">
      <c r="C3" s="182" t="s">
        <v>31</v>
      </c>
      <c r="D3" s="182"/>
    </row>
    <row r="4" spans="3:11" x14ac:dyDescent="0.25">
      <c r="C4" t="s">
        <v>170</v>
      </c>
      <c r="D4" t="s">
        <v>169</v>
      </c>
    </row>
    <row r="5" spans="3:11" x14ac:dyDescent="0.25">
      <c r="C5" t="s">
        <v>172</v>
      </c>
      <c r="D5" t="s">
        <v>171</v>
      </c>
      <c r="F5" t="s">
        <v>140</v>
      </c>
    </row>
    <row r="6" spans="3:11" ht="15.75" thickBot="1" x14ac:dyDescent="0.3">
      <c r="C6">
        <v>13122</v>
      </c>
      <c r="D6">
        <v>5.9</v>
      </c>
    </row>
    <row r="7" spans="3:11" x14ac:dyDescent="0.25">
      <c r="C7">
        <v>14697</v>
      </c>
      <c r="D7">
        <v>5.8</v>
      </c>
      <c r="F7" s="39" t="s">
        <v>141</v>
      </c>
      <c r="G7" s="39"/>
    </row>
    <row r="8" spans="3:11" x14ac:dyDescent="0.25">
      <c r="C8">
        <v>14280</v>
      </c>
      <c r="D8">
        <v>5.8</v>
      </c>
      <c r="F8" s="36" t="s">
        <v>142</v>
      </c>
      <c r="G8" s="36">
        <v>0.30609728983619106</v>
      </c>
    </row>
    <row r="9" spans="3:11" x14ac:dyDescent="0.25">
      <c r="C9">
        <v>15962</v>
      </c>
      <c r="D9">
        <v>5.8</v>
      </c>
      <c r="F9" s="36" t="s">
        <v>143</v>
      </c>
      <c r="G9" s="36">
        <v>9.3695550845061162E-2</v>
      </c>
    </row>
    <row r="10" spans="3:11" x14ac:dyDescent="0.25">
      <c r="C10">
        <v>15985</v>
      </c>
      <c r="D10">
        <v>5.8</v>
      </c>
      <c r="F10" s="36" t="s">
        <v>144</v>
      </c>
      <c r="G10" s="36">
        <v>5.2499894065291208E-2</v>
      </c>
    </row>
    <row r="11" spans="3:11" x14ac:dyDescent="0.25">
      <c r="C11">
        <v>20953</v>
      </c>
      <c r="D11">
        <v>6</v>
      </c>
      <c r="F11" s="36" t="s">
        <v>145</v>
      </c>
      <c r="G11" s="36">
        <v>2514.35932488855</v>
      </c>
    </row>
    <row r="12" spans="3:11" ht="15.75" thickBot="1" x14ac:dyDescent="0.3">
      <c r="C12">
        <v>16774</v>
      </c>
      <c r="D12">
        <v>5.8</v>
      </c>
      <c r="F12" s="37" t="s">
        <v>146</v>
      </c>
      <c r="G12" s="37">
        <v>24</v>
      </c>
    </row>
    <row r="13" spans="3:11" x14ac:dyDescent="0.25">
      <c r="C13">
        <v>15666</v>
      </c>
      <c r="D13">
        <v>6</v>
      </c>
    </row>
    <row r="14" spans="3:11" ht="15.75" thickBot="1" x14ac:dyDescent="0.3">
      <c r="C14">
        <v>16735</v>
      </c>
      <c r="D14">
        <v>5.9</v>
      </c>
      <c r="F14" t="s">
        <v>147</v>
      </c>
    </row>
    <row r="15" spans="3:11" x14ac:dyDescent="0.25">
      <c r="C15">
        <v>17179</v>
      </c>
      <c r="D15">
        <v>5.8</v>
      </c>
      <c r="F15" s="38"/>
      <c r="G15" s="38" t="s">
        <v>152</v>
      </c>
      <c r="H15" s="38" t="s">
        <v>153</v>
      </c>
      <c r="I15" s="38" t="s">
        <v>154</v>
      </c>
      <c r="J15" s="38" t="s">
        <v>155</v>
      </c>
      <c r="K15" s="38" t="s">
        <v>156</v>
      </c>
    </row>
    <row r="16" spans="3:11" x14ac:dyDescent="0.25">
      <c r="C16">
        <v>18346</v>
      </c>
      <c r="D16">
        <v>5.6</v>
      </c>
      <c r="F16" s="36" t="s">
        <v>148</v>
      </c>
      <c r="G16" s="36">
        <v>1</v>
      </c>
      <c r="H16" s="36">
        <v>14378786.077611893</v>
      </c>
      <c r="I16" s="36">
        <v>14378786.077611893</v>
      </c>
      <c r="J16" s="36">
        <v>2.2744036184676748</v>
      </c>
      <c r="K16" s="36">
        <v>0.14575311360912985</v>
      </c>
    </row>
    <row r="17" spans="3:14" x14ac:dyDescent="0.25">
      <c r="C17">
        <v>16954</v>
      </c>
      <c r="D17">
        <v>5.6</v>
      </c>
      <c r="F17" s="36" t="s">
        <v>149</v>
      </c>
      <c r="G17" s="36">
        <v>22</v>
      </c>
      <c r="H17" s="36">
        <v>139084061.92238811</v>
      </c>
      <c r="I17" s="36">
        <v>6322002.8146540048</v>
      </c>
      <c r="J17" s="36"/>
      <c r="K17" s="36"/>
    </row>
    <row r="18" spans="3:14" ht="15.75" thickBot="1" x14ac:dyDescent="0.3">
      <c r="C18">
        <v>12457</v>
      </c>
      <c r="D18">
        <v>5.8</v>
      </c>
      <c r="F18" s="37" t="s">
        <v>150</v>
      </c>
      <c r="G18" s="37">
        <v>23</v>
      </c>
      <c r="H18" s="37">
        <v>153462848</v>
      </c>
      <c r="I18" s="37"/>
      <c r="J18" s="37"/>
      <c r="K18" s="37"/>
    </row>
    <row r="19" spans="3:14" ht="15.75" thickBot="1" x14ac:dyDescent="0.3">
      <c r="C19">
        <v>10265</v>
      </c>
      <c r="D19">
        <v>5.8</v>
      </c>
    </row>
    <row r="20" spans="3:14" x14ac:dyDescent="0.25">
      <c r="C20">
        <v>12853</v>
      </c>
      <c r="D20">
        <v>5.8</v>
      </c>
      <c r="F20" s="38"/>
      <c r="G20" s="38" t="s">
        <v>157</v>
      </c>
      <c r="H20" s="38" t="s">
        <v>145</v>
      </c>
      <c r="I20" s="38" t="s">
        <v>158</v>
      </c>
      <c r="J20" s="38" t="s">
        <v>159</v>
      </c>
      <c r="K20" s="38" t="s">
        <v>160</v>
      </c>
      <c r="L20" s="38" t="s">
        <v>161</v>
      </c>
      <c r="M20" s="38" t="s">
        <v>162</v>
      </c>
      <c r="N20" s="38" t="s">
        <v>163</v>
      </c>
    </row>
    <row r="21" spans="3:14" x14ac:dyDescent="0.25">
      <c r="C21">
        <v>18166</v>
      </c>
      <c r="D21">
        <v>5.7</v>
      </c>
      <c r="F21" s="36" t="s">
        <v>151</v>
      </c>
      <c r="G21" s="36">
        <v>45521.501492537282</v>
      </c>
      <c r="H21" s="36">
        <v>19327.323765078887</v>
      </c>
      <c r="I21" s="36">
        <v>2.3552925405423548</v>
      </c>
      <c r="J21" s="36">
        <v>2.7838785848649371E-2</v>
      </c>
      <c r="K21" s="36">
        <v>5439.0852614787436</v>
      </c>
      <c r="L21" s="36">
        <v>85603.91772359582</v>
      </c>
      <c r="M21" s="36">
        <v>5439.0852614787436</v>
      </c>
      <c r="N21" s="36">
        <v>85603.91772359582</v>
      </c>
    </row>
    <row r="22" spans="3:14" ht="15.75" thickBot="1" x14ac:dyDescent="0.3">
      <c r="C22">
        <v>16409</v>
      </c>
      <c r="D22">
        <v>5.4</v>
      </c>
      <c r="F22" s="41" t="s">
        <v>164</v>
      </c>
      <c r="G22" s="41">
        <v>-5074.7462686567114</v>
      </c>
      <c r="H22" s="37">
        <v>3364.9650987489031</v>
      </c>
      <c r="I22" s="37">
        <v>-1.5081126013887949</v>
      </c>
      <c r="J22" s="37">
        <v>0.14575311360912999</v>
      </c>
      <c r="K22" s="37">
        <v>-12053.256761389071</v>
      </c>
      <c r="L22" s="37">
        <v>1903.7642240756495</v>
      </c>
      <c r="M22" s="37">
        <v>-12053.256761389071</v>
      </c>
      <c r="N22" s="37">
        <v>1903.7642240756495</v>
      </c>
    </row>
    <row r="23" spans="3:14" x14ac:dyDescent="0.25">
      <c r="C23">
        <v>21548</v>
      </c>
      <c r="D23">
        <v>5.5</v>
      </c>
    </row>
    <row r="24" spans="3:14" x14ac:dyDescent="0.25">
      <c r="C24">
        <v>18073</v>
      </c>
      <c r="D24">
        <v>5.7</v>
      </c>
    </row>
    <row r="25" spans="3:14" x14ac:dyDescent="0.25">
      <c r="C25">
        <v>17713</v>
      </c>
      <c r="D25">
        <v>5.7</v>
      </c>
    </row>
    <row r="26" spans="3:14" x14ac:dyDescent="0.25">
      <c r="C26">
        <v>19139</v>
      </c>
      <c r="D26">
        <v>5.5</v>
      </c>
    </row>
    <row r="27" spans="3:14" x14ac:dyDescent="0.25">
      <c r="C27">
        <v>17060</v>
      </c>
      <c r="D27">
        <v>5.6</v>
      </c>
    </row>
    <row r="28" spans="3:14" x14ac:dyDescent="0.25">
      <c r="C28">
        <v>17108</v>
      </c>
      <c r="D28">
        <v>5.9</v>
      </c>
    </row>
    <row r="29" spans="3:14" x14ac:dyDescent="0.25">
      <c r="C29">
        <v>15772</v>
      </c>
      <c r="D29">
        <v>5.6</v>
      </c>
    </row>
  </sheetData>
  <mergeCells count="1">
    <mergeCell ref="C3:D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2F87-A29E-4A84-886F-D8C6BFFE32A6}">
  <dimension ref="A1:U70"/>
  <sheetViews>
    <sheetView topLeftCell="A2" zoomScaleNormal="100" workbookViewId="0">
      <selection activeCell="F22" sqref="F22:P24"/>
    </sheetView>
  </sheetViews>
  <sheetFormatPr defaultRowHeight="15" x14ac:dyDescent="0.25"/>
  <cols>
    <col min="1" max="1" width="17.28515625" customWidth="1"/>
    <col min="2" max="2" width="18" bestFit="1" customWidth="1"/>
    <col min="3" max="3" width="14.42578125" bestFit="1" customWidth="1"/>
    <col min="4" max="5" width="0" hidden="1" customWidth="1"/>
    <col min="7" max="7" width="17.85546875" bestFit="1" customWidth="1"/>
    <col min="8" max="8" width="27.5703125" bestFit="1" customWidth="1"/>
    <col min="9" max="9" width="21.140625" bestFit="1" customWidth="1"/>
    <col min="10" max="10" width="19" bestFit="1" customWidth="1"/>
    <col min="11" max="11" width="24" bestFit="1" customWidth="1"/>
    <col min="12" max="12" width="11.140625" hidden="1" customWidth="1"/>
    <col min="13" max="13" width="0" hidden="1" customWidth="1"/>
    <col min="14" max="14" width="11.42578125" hidden="1" customWidth="1"/>
    <col min="15" max="15" width="11" hidden="1" customWidth="1"/>
    <col min="16" max="16" width="10.140625" hidden="1" customWidth="1"/>
    <col min="17" max="17" width="0" hidden="1" customWidth="1"/>
    <col min="18" max="18" width="19.7109375" bestFit="1" customWidth="1"/>
    <col min="19" max="19" width="30.85546875" bestFit="1" customWidth="1"/>
    <col min="20" max="20" width="13.42578125" bestFit="1" customWidth="1"/>
    <col min="21" max="21" width="14.140625" bestFit="1" customWidth="1"/>
  </cols>
  <sheetData>
    <row r="1" spans="1:21" ht="31.5" customHeight="1" x14ac:dyDescent="0.25">
      <c r="B1" t="s">
        <v>34</v>
      </c>
      <c r="C1" t="s">
        <v>0</v>
      </c>
      <c r="D1" s="183" t="s">
        <v>115</v>
      </c>
      <c r="E1" s="183"/>
      <c r="G1" s="183" t="s">
        <v>90</v>
      </c>
      <c r="H1" t="s">
        <v>92</v>
      </c>
      <c r="I1" t="s">
        <v>93</v>
      </c>
      <c r="J1" t="s">
        <v>95</v>
      </c>
      <c r="K1" t="s">
        <v>98</v>
      </c>
      <c r="R1" t="s">
        <v>92</v>
      </c>
      <c r="S1" t="s">
        <v>93</v>
      </c>
      <c r="T1" t="s">
        <v>95</v>
      </c>
      <c r="U1" t="s">
        <v>98</v>
      </c>
    </row>
    <row r="2" spans="1:21" x14ac:dyDescent="0.25">
      <c r="B2" t="s">
        <v>88</v>
      </c>
      <c r="C2" s="15" t="s">
        <v>89</v>
      </c>
      <c r="G2" s="183"/>
      <c r="H2" s="69" t="s">
        <v>91</v>
      </c>
      <c r="I2" s="69" t="s">
        <v>94</v>
      </c>
      <c r="J2" s="69" t="s">
        <v>96</v>
      </c>
      <c r="K2" s="69" t="s">
        <v>100</v>
      </c>
      <c r="L2" s="35">
        <v>100</v>
      </c>
      <c r="R2" s="51" t="s">
        <v>199</v>
      </c>
      <c r="S2" t="s">
        <v>201</v>
      </c>
      <c r="T2" t="s">
        <v>204</v>
      </c>
      <c r="U2" s="51" t="s">
        <v>210</v>
      </c>
    </row>
    <row r="3" spans="1:21" x14ac:dyDescent="0.25">
      <c r="A3" s="29">
        <v>43131</v>
      </c>
      <c r="B3" s="30">
        <v>370150</v>
      </c>
      <c r="C3" s="31">
        <v>665400</v>
      </c>
      <c r="D3" s="32">
        <v>100</v>
      </c>
      <c r="E3" s="32">
        <v>100</v>
      </c>
      <c r="F3" t="s">
        <v>116</v>
      </c>
      <c r="G3" s="183"/>
      <c r="H3" s="69" t="s">
        <v>102</v>
      </c>
      <c r="I3" s="69" t="s">
        <v>99</v>
      </c>
      <c r="J3" s="69" t="s">
        <v>97</v>
      </c>
      <c r="K3" s="69" t="s">
        <v>101</v>
      </c>
      <c r="L3" s="4">
        <f>B3*$L$2</f>
        <v>37015000</v>
      </c>
      <c r="R3" s="51" t="s">
        <v>200</v>
      </c>
      <c r="S3" s="51" t="s">
        <v>205</v>
      </c>
      <c r="T3" t="s">
        <v>202</v>
      </c>
      <c r="U3" t="s">
        <v>212</v>
      </c>
    </row>
    <row r="4" spans="1:21" x14ac:dyDescent="0.25">
      <c r="A4" s="1">
        <v>43159</v>
      </c>
      <c r="B4" s="4">
        <v>385000</v>
      </c>
      <c r="C4" s="15">
        <v>682800</v>
      </c>
      <c r="D4" s="24">
        <f>(B4/$B$3)*$D$3</f>
        <v>104.01188707280834</v>
      </c>
      <c r="E4" s="24">
        <f>(C4/$C$3)*$E$3</f>
        <v>102.61496844003605</v>
      </c>
      <c r="H4" s="69"/>
      <c r="I4" s="69" t="s">
        <v>103</v>
      </c>
      <c r="J4" s="69"/>
      <c r="K4" s="69"/>
      <c r="L4" s="4">
        <f t="shared" ref="L4:L27" si="0">B4*$L$2</f>
        <v>38500000</v>
      </c>
      <c r="R4" t="s">
        <v>203</v>
      </c>
      <c r="S4" s="51" t="s">
        <v>206</v>
      </c>
    </row>
    <row r="5" spans="1:21" x14ac:dyDescent="0.25">
      <c r="A5" s="1">
        <v>43190</v>
      </c>
      <c r="B5" s="25">
        <v>390000</v>
      </c>
      <c r="C5" s="15">
        <v>693500</v>
      </c>
      <c r="D5" s="24">
        <f t="shared" ref="D5:D27" si="1">(B5/$B$3)*$D$3</f>
        <v>105.3626908010266</v>
      </c>
      <c r="E5" s="24">
        <f t="shared" ref="E5:E27" si="2">(C5/$C$3)*$E$3</f>
        <v>104.22302374511571</v>
      </c>
      <c r="H5" s="69"/>
      <c r="I5" s="69"/>
      <c r="J5" s="69"/>
      <c r="K5" s="69"/>
      <c r="L5" s="4">
        <f t="shared" si="0"/>
        <v>39000000</v>
      </c>
      <c r="M5" s="182" t="s">
        <v>117</v>
      </c>
      <c r="N5" s="182"/>
      <c r="O5" s="182"/>
      <c r="P5" s="182"/>
      <c r="Q5" s="182"/>
      <c r="R5" t="s">
        <v>209</v>
      </c>
      <c r="S5" t="s">
        <v>207</v>
      </c>
    </row>
    <row r="6" spans="1:21" x14ac:dyDescent="0.25">
      <c r="A6" s="1">
        <v>43220</v>
      </c>
      <c r="B6" s="4">
        <v>399844</v>
      </c>
      <c r="C6" s="15">
        <v>701000</v>
      </c>
      <c r="D6" s="24">
        <f t="shared" si="1"/>
        <v>108.02215318114278</v>
      </c>
      <c r="E6" s="24">
        <f t="shared" si="2"/>
        <v>105.35016531409678</v>
      </c>
      <c r="L6" s="4">
        <f t="shared" si="0"/>
        <v>39984400</v>
      </c>
      <c r="M6" s="182" t="s">
        <v>118</v>
      </c>
      <c r="N6" s="182"/>
      <c r="O6" s="182"/>
      <c r="P6" s="182"/>
      <c r="Q6" s="182"/>
      <c r="S6" t="s">
        <v>208</v>
      </c>
    </row>
    <row r="7" spans="1:21" x14ac:dyDescent="0.25">
      <c r="A7" s="1">
        <v>43251</v>
      </c>
      <c r="B7" s="4">
        <v>400000</v>
      </c>
      <c r="C7" s="15">
        <v>701700</v>
      </c>
      <c r="D7" s="24">
        <f t="shared" si="1"/>
        <v>108.06429825746319</v>
      </c>
      <c r="E7" s="24">
        <f t="shared" si="2"/>
        <v>105.45536519386836</v>
      </c>
      <c r="H7" s="182" t="s">
        <v>106</v>
      </c>
      <c r="I7" s="182"/>
      <c r="L7" s="4">
        <f t="shared" si="0"/>
        <v>40000000</v>
      </c>
      <c r="M7" s="26">
        <v>-1</v>
      </c>
      <c r="N7" s="26" t="s">
        <v>122</v>
      </c>
      <c r="O7" s="26">
        <v>0</v>
      </c>
      <c r="P7" s="26" t="s">
        <v>124</v>
      </c>
      <c r="Q7" s="26">
        <v>1</v>
      </c>
      <c r="S7" t="s">
        <v>211</v>
      </c>
    </row>
    <row r="8" spans="1:21" ht="30" x14ac:dyDescent="0.25">
      <c r="A8" s="1">
        <v>43281</v>
      </c>
      <c r="B8" s="25">
        <v>395000</v>
      </c>
      <c r="C8" s="15">
        <v>704200</v>
      </c>
      <c r="D8" s="24">
        <f t="shared" si="1"/>
        <v>106.7134945292449</v>
      </c>
      <c r="E8" s="24">
        <f t="shared" si="2"/>
        <v>105.83107905019537</v>
      </c>
      <c r="H8" t="str">
        <f>B1</f>
        <v>Fraser Valley</v>
      </c>
      <c r="I8" t="str">
        <f>C1</f>
        <v>Vancouver</v>
      </c>
      <c r="J8" t="s">
        <v>107</v>
      </c>
      <c r="K8" t="s">
        <v>108</v>
      </c>
      <c r="L8" s="4">
        <f t="shared" si="0"/>
        <v>39500000</v>
      </c>
      <c r="M8" s="34" t="s">
        <v>121</v>
      </c>
      <c r="N8" s="34" t="s">
        <v>123</v>
      </c>
      <c r="O8" s="34" t="s">
        <v>119</v>
      </c>
      <c r="P8" s="34" t="s">
        <v>125</v>
      </c>
      <c r="Q8" s="34" t="s">
        <v>120</v>
      </c>
    </row>
    <row r="9" spans="1:21" x14ac:dyDescent="0.25">
      <c r="A9" s="1">
        <v>43312</v>
      </c>
      <c r="B9" s="4">
        <v>385000</v>
      </c>
      <c r="C9" s="15">
        <v>700500</v>
      </c>
      <c r="D9" s="24">
        <f t="shared" si="1"/>
        <v>104.01188707280834</v>
      </c>
      <c r="E9" s="24">
        <f t="shared" si="2"/>
        <v>105.27502254283138</v>
      </c>
      <c r="G9" t="s">
        <v>104</v>
      </c>
      <c r="H9" s="4">
        <f>AVERAGE(B3:B27)</f>
        <v>378549.76000000001</v>
      </c>
      <c r="I9" s="4">
        <f>AVERAGE(C3:C27)</f>
        <v>671260</v>
      </c>
      <c r="J9" s="27">
        <f>(I9-H9)/I9</f>
        <v>0.43606090039626971</v>
      </c>
      <c r="L9" s="4">
        <f t="shared" si="0"/>
        <v>38500000</v>
      </c>
    </row>
    <row r="10" spans="1:21" x14ac:dyDescent="0.25">
      <c r="A10" s="1">
        <v>43343</v>
      </c>
      <c r="B10" s="4">
        <v>390000</v>
      </c>
      <c r="C10" s="15">
        <v>695500</v>
      </c>
      <c r="D10" s="24">
        <f t="shared" si="1"/>
        <v>105.3626908010266</v>
      </c>
      <c r="E10" s="24">
        <f t="shared" si="2"/>
        <v>104.52359483017734</v>
      </c>
      <c r="G10" t="s">
        <v>105</v>
      </c>
      <c r="H10" s="6">
        <f>_xlfn.STDEV.S(B3:B27)</f>
        <v>11217.154709342887</v>
      </c>
      <c r="I10" s="6">
        <f>_xlfn.STDEV.S(C3:C27)</f>
        <v>18843.544429503349</v>
      </c>
      <c r="L10" s="4">
        <f t="shared" si="0"/>
        <v>39000000</v>
      </c>
    </row>
    <row r="11" spans="1:21" x14ac:dyDescent="0.25">
      <c r="A11" s="1">
        <v>43373</v>
      </c>
      <c r="B11" s="4">
        <v>385000</v>
      </c>
      <c r="C11" s="15">
        <v>687300</v>
      </c>
      <c r="D11" s="24">
        <f t="shared" si="1"/>
        <v>104.01188707280834</v>
      </c>
      <c r="E11" s="24">
        <f t="shared" si="2"/>
        <v>103.29125338142471</v>
      </c>
      <c r="G11" t="s">
        <v>198</v>
      </c>
      <c r="H11" s="7">
        <f>H10/H9</f>
        <v>2.9631916050727087E-2</v>
      </c>
      <c r="I11" s="7">
        <f>I10/I9</f>
        <v>2.8071901244679183E-2</v>
      </c>
      <c r="L11" s="4">
        <f t="shared" si="0"/>
        <v>38500000</v>
      </c>
    </row>
    <row r="12" spans="1:21" x14ac:dyDescent="0.25">
      <c r="A12" s="1">
        <v>43404</v>
      </c>
      <c r="B12" s="4">
        <v>380000</v>
      </c>
      <c r="C12" s="15">
        <v>683500</v>
      </c>
      <c r="D12" s="24">
        <f t="shared" si="1"/>
        <v>102.66108334459003</v>
      </c>
      <c r="E12" s="24">
        <f t="shared" si="2"/>
        <v>102.72016831980764</v>
      </c>
      <c r="L12" s="4">
        <f t="shared" si="0"/>
        <v>38000000</v>
      </c>
    </row>
    <row r="13" spans="1:21" x14ac:dyDescent="0.25">
      <c r="A13" s="1">
        <v>43434</v>
      </c>
      <c r="B13" s="4">
        <v>379500</v>
      </c>
      <c r="C13" s="15">
        <v>667800</v>
      </c>
      <c r="D13" s="24">
        <f t="shared" si="1"/>
        <v>102.52600297176819</v>
      </c>
      <c r="E13" s="24">
        <f t="shared" si="2"/>
        <v>100.36068530207393</v>
      </c>
      <c r="L13" s="4">
        <f t="shared" si="0"/>
        <v>37950000</v>
      </c>
    </row>
    <row r="14" spans="1:21" x14ac:dyDescent="0.25">
      <c r="A14" s="1">
        <v>43465</v>
      </c>
      <c r="B14" s="4">
        <v>360000</v>
      </c>
      <c r="C14" s="15">
        <v>664100</v>
      </c>
      <c r="D14" s="24">
        <f t="shared" si="1"/>
        <v>97.257868431716872</v>
      </c>
      <c r="E14" s="24">
        <f t="shared" si="2"/>
        <v>99.804628794709942</v>
      </c>
      <c r="F14" t="s">
        <v>73</v>
      </c>
      <c r="G14" t="s">
        <v>104</v>
      </c>
      <c r="H14" t="s">
        <v>34</v>
      </c>
      <c r="I14" t="s">
        <v>0</v>
      </c>
      <c r="J14" t="s">
        <v>114</v>
      </c>
      <c r="L14" s="4">
        <f t="shared" si="0"/>
        <v>36000000</v>
      </c>
    </row>
    <row r="15" spans="1:21" x14ac:dyDescent="0.25">
      <c r="A15" s="1">
        <v>43496</v>
      </c>
      <c r="B15" s="4">
        <v>372000</v>
      </c>
      <c r="C15" s="15">
        <v>658600</v>
      </c>
      <c r="D15" s="24">
        <f t="shared" si="1"/>
        <v>100.49979737944076</v>
      </c>
      <c r="E15" s="24">
        <f t="shared" si="2"/>
        <v>98.978058310790502</v>
      </c>
      <c r="F15">
        <v>2018</v>
      </c>
      <c r="G15" t="s">
        <v>109</v>
      </c>
      <c r="H15" s="4">
        <f>AVERAGE(B3:B5)</f>
        <v>381716.66666666669</v>
      </c>
      <c r="I15" s="4">
        <f>AVERAGE(C3:C5)</f>
        <v>680566.66666666663</v>
      </c>
      <c r="J15" s="28"/>
      <c r="K15" s="28"/>
      <c r="L15" s="4">
        <f t="shared" si="0"/>
        <v>37200000</v>
      </c>
    </row>
    <row r="16" spans="1:21" x14ac:dyDescent="0.25">
      <c r="A16" s="1">
        <v>43524</v>
      </c>
      <c r="B16" s="4">
        <v>380000</v>
      </c>
      <c r="C16" s="15">
        <v>660300</v>
      </c>
      <c r="D16" s="24">
        <f t="shared" si="1"/>
        <v>102.66108334459003</v>
      </c>
      <c r="E16" s="24">
        <f t="shared" si="2"/>
        <v>99.233543733092873</v>
      </c>
      <c r="F16">
        <v>2018</v>
      </c>
      <c r="G16" t="s">
        <v>110</v>
      </c>
      <c r="H16" s="4">
        <f>AVERAGE(B6:B8)</f>
        <v>398281.33333333331</v>
      </c>
      <c r="I16" s="4">
        <f>AVERAGE(C6:C8)</f>
        <v>702300</v>
      </c>
      <c r="J16" s="7">
        <f>(H16-H15)/H15</f>
        <v>4.3395188403265846E-2</v>
      </c>
      <c r="K16" s="7">
        <f>(I16-I15)/I15</f>
        <v>3.193417250330613E-2</v>
      </c>
      <c r="L16" s="4">
        <f t="shared" si="0"/>
        <v>38000000</v>
      </c>
    </row>
    <row r="17" spans="1:12" x14ac:dyDescent="0.25">
      <c r="A17" s="1">
        <v>43555</v>
      </c>
      <c r="B17" s="4">
        <v>385000</v>
      </c>
      <c r="C17" s="15">
        <v>656900</v>
      </c>
      <c r="D17" s="24">
        <f t="shared" si="1"/>
        <v>104.01188707280834</v>
      </c>
      <c r="E17" s="24">
        <f t="shared" si="2"/>
        <v>98.722572888488131</v>
      </c>
      <c r="F17">
        <v>2018</v>
      </c>
      <c r="G17" t="s">
        <v>111</v>
      </c>
      <c r="H17" s="4">
        <f>AVERAGE(B9:B11)</f>
        <v>386666.66666666669</v>
      </c>
      <c r="I17" s="4">
        <f>AVERAGE(C9:C11)</f>
        <v>694433.33333333337</v>
      </c>
      <c r="J17" s="7">
        <f t="shared" ref="J17:J22" si="3">(H17-H16)/H16</f>
        <v>-2.9161965913541754E-2</v>
      </c>
      <c r="K17" s="7">
        <f t="shared" ref="K17:K22" si="4">(I17-I16)/I16</f>
        <v>-1.1201290996250361E-2</v>
      </c>
      <c r="L17" s="4">
        <f t="shared" si="0"/>
        <v>38500000</v>
      </c>
    </row>
    <row r="18" spans="1:12" x14ac:dyDescent="0.25">
      <c r="A18" s="1">
        <v>43585</v>
      </c>
      <c r="B18" s="4">
        <v>365000</v>
      </c>
      <c r="C18" s="15">
        <v>656900</v>
      </c>
      <c r="D18" s="24">
        <f t="shared" si="1"/>
        <v>98.608672159935168</v>
      </c>
      <c r="E18" s="24">
        <f t="shared" si="2"/>
        <v>98.722572888488131</v>
      </c>
      <c r="F18">
        <v>2018</v>
      </c>
      <c r="G18" t="s">
        <v>112</v>
      </c>
      <c r="H18" s="4">
        <f>AVERAGE(B12:B14)</f>
        <v>373166.66666666669</v>
      </c>
      <c r="I18" s="4">
        <f>AVERAGE(C12:C14)</f>
        <v>671800</v>
      </c>
      <c r="J18" s="7">
        <f t="shared" si="3"/>
        <v>-3.4913793103448276E-2</v>
      </c>
      <c r="K18" s="7">
        <f t="shared" si="4"/>
        <v>-3.2592521480343736E-2</v>
      </c>
      <c r="L18" s="4">
        <f t="shared" si="0"/>
        <v>36500000</v>
      </c>
    </row>
    <row r="19" spans="1:12" x14ac:dyDescent="0.25">
      <c r="A19" s="1">
        <v>43616</v>
      </c>
      <c r="B19" s="4">
        <v>369500</v>
      </c>
      <c r="C19" s="15">
        <v>664200</v>
      </c>
      <c r="D19" s="24">
        <f t="shared" si="1"/>
        <v>99.824395515331616</v>
      </c>
      <c r="E19" s="24">
        <f t="shared" si="2"/>
        <v>99.819657348963034</v>
      </c>
      <c r="F19">
        <v>2019</v>
      </c>
      <c r="G19" t="s">
        <v>109</v>
      </c>
      <c r="H19" s="4">
        <f>AVERAGE(B15:B17)</f>
        <v>379000</v>
      </c>
      <c r="I19" s="4">
        <f>AVERAGE(C15:C17)</f>
        <v>658600</v>
      </c>
      <c r="J19" s="7">
        <f t="shared" si="3"/>
        <v>1.5631978561857919E-2</v>
      </c>
      <c r="K19" s="7">
        <f t="shared" si="4"/>
        <v>-1.9648704971717772E-2</v>
      </c>
      <c r="L19" s="4">
        <f t="shared" si="0"/>
        <v>36950000</v>
      </c>
    </row>
    <row r="20" spans="1:12" x14ac:dyDescent="0.25">
      <c r="A20" s="1">
        <v>43646</v>
      </c>
      <c r="B20" s="4">
        <v>380000</v>
      </c>
      <c r="C20" s="15">
        <v>654700</v>
      </c>
      <c r="D20" s="24">
        <f t="shared" si="1"/>
        <v>102.66108334459003</v>
      </c>
      <c r="E20" s="24">
        <f t="shared" si="2"/>
        <v>98.391944694920355</v>
      </c>
      <c r="F20">
        <v>2019</v>
      </c>
      <c r="G20" t="s">
        <v>110</v>
      </c>
      <c r="H20" s="4">
        <f>AVERAGE(B18:B20)</f>
        <v>371500</v>
      </c>
      <c r="I20" s="4">
        <f>AVERAGE(C18:C20)</f>
        <v>658600</v>
      </c>
      <c r="J20" s="7">
        <f t="shared" si="3"/>
        <v>-1.9788918205804751E-2</v>
      </c>
      <c r="K20" s="7">
        <f t="shared" si="4"/>
        <v>0</v>
      </c>
      <c r="L20" s="4">
        <f t="shared" si="0"/>
        <v>38000000</v>
      </c>
    </row>
    <row r="21" spans="1:12" x14ac:dyDescent="0.25">
      <c r="A21" s="1">
        <v>43677</v>
      </c>
      <c r="B21" s="4">
        <v>375000</v>
      </c>
      <c r="C21" s="15">
        <v>653200</v>
      </c>
      <c r="D21" s="24">
        <f t="shared" si="1"/>
        <v>101.31027961637173</v>
      </c>
      <c r="E21" s="24">
        <f t="shared" si="2"/>
        <v>98.16651638112414</v>
      </c>
      <c r="F21">
        <v>2019</v>
      </c>
      <c r="G21" t="s">
        <v>111</v>
      </c>
      <c r="H21" s="4">
        <f>AVERAGE(B21:B23)</f>
        <v>369000</v>
      </c>
      <c r="I21" s="4">
        <f>AVERAGE(C21:C23)</f>
        <v>652900</v>
      </c>
      <c r="J21" s="7">
        <f t="shared" si="3"/>
        <v>-6.7294751009421266E-3</v>
      </c>
      <c r="K21" s="7">
        <f t="shared" si="4"/>
        <v>-8.6547221378682048E-3</v>
      </c>
      <c r="L21" s="4">
        <f t="shared" si="0"/>
        <v>37500000</v>
      </c>
    </row>
    <row r="22" spans="1:12" x14ac:dyDescent="0.25">
      <c r="A22" s="1">
        <v>43708</v>
      </c>
      <c r="B22" s="4">
        <v>362000</v>
      </c>
      <c r="C22" s="15">
        <v>654000</v>
      </c>
      <c r="D22" s="24">
        <f t="shared" si="1"/>
        <v>97.798189923004188</v>
      </c>
      <c r="E22" s="24">
        <f t="shared" si="2"/>
        <v>98.286744815148779</v>
      </c>
      <c r="F22">
        <v>2019</v>
      </c>
      <c r="G22" t="s">
        <v>112</v>
      </c>
      <c r="H22" s="4">
        <f>AVERAGE(B24:B26)</f>
        <v>371333.33333333331</v>
      </c>
      <c r="I22" s="4">
        <f>AVERAGE(C24:C26)</f>
        <v>653566.66666666663</v>
      </c>
      <c r="J22" s="7">
        <f t="shared" si="3"/>
        <v>6.3233965672989537E-3</v>
      </c>
      <c r="K22" s="7">
        <f t="shared" si="4"/>
        <v>1.0210854137948045E-3</v>
      </c>
      <c r="L22" s="4">
        <f t="shared" si="0"/>
        <v>36200000</v>
      </c>
    </row>
    <row r="23" spans="1:12" x14ac:dyDescent="0.25">
      <c r="A23" s="1">
        <v>43738</v>
      </c>
      <c r="B23" s="4">
        <v>370000</v>
      </c>
      <c r="C23" s="15">
        <v>651500</v>
      </c>
      <c r="D23" s="24">
        <f t="shared" si="1"/>
        <v>99.959475888153449</v>
      </c>
      <c r="E23" s="24">
        <f t="shared" si="2"/>
        <v>97.911030958821769</v>
      </c>
      <c r="L23" s="4">
        <f t="shared" si="0"/>
        <v>37000000</v>
      </c>
    </row>
    <row r="24" spans="1:12" x14ac:dyDescent="0.25">
      <c r="A24" s="1">
        <v>43769</v>
      </c>
      <c r="B24" s="4">
        <v>366000</v>
      </c>
      <c r="C24" s="15">
        <v>652500</v>
      </c>
      <c r="D24" s="24">
        <f t="shared" si="1"/>
        <v>98.878832905578818</v>
      </c>
      <c r="E24" s="24">
        <f t="shared" si="2"/>
        <v>98.061316501352565</v>
      </c>
      <c r="L24" s="4">
        <f t="shared" si="0"/>
        <v>36600000</v>
      </c>
    </row>
    <row r="25" spans="1:12" x14ac:dyDescent="0.25">
      <c r="A25" s="1">
        <v>43799</v>
      </c>
      <c r="B25" s="4">
        <v>368000</v>
      </c>
      <c r="C25" s="15">
        <v>651500</v>
      </c>
      <c r="D25" s="24">
        <f t="shared" si="1"/>
        <v>99.419154396866134</v>
      </c>
      <c r="E25" s="24">
        <f t="shared" si="2"/>
        <v>97.911030958821769</v>
      </c>
      <c r="G25" t="s">
        <v>75</v>
      </c>
      <c r="J25" t="s">
        <v>117</v>
      </c>
      <c r="L25" s="4">
        <f t="shared" si="0"/>
        <v>36800000</v>
      </c>
    </row>
    <row r="26" spans="1:12" x14ac:dyDescent="0.25">
      <c r="A26" s="1">
        <v>43830</v>
      </c>
      <c r="B26" s="4">
        <v>380000</v>
      </c>
      <c r="C26" s="15">
        <v>656700</v>
      </c>
      <c r="D26" s="24">
        <f t="shared" si="1"/>
        <v>102.66108334459003</v>
      </c>
      <c r="E26" s="24">
        <f t="shared" si="2"/>
        <v>98.692515779981974</v>
      </c>
      <c r="H26" t="s">
        <v>113</v>
      </c>
      <c r="I26" t="s">
        <v>129</v>
      </c>
      <c r="J26" s="24">
        <f>CORREL(C3:C27,B3:B27)</f>
        <v>0.81382527154017947</v>
      </c>
      <c r="L26" s="4">
        <f t="shared" si="0"/>
        <v>38000000</v>
      </c>
    </row>
    <row r="27" spans="1:12" x14ac:dyDescent="0.25">
      <c r="A27" s="1">
        <v>43861</v>
      </c>
      <c r="B27" s="4">
        <v>371750</v>
      </c>
      <c r="C27" s="15">
        <v>663200</v>
      </c>
      <c r="D27" s="24">
        <f t="shared" si="1"/>
        <v>100.43225719302986</v>
      </c>
      <c r="E27" s="24">
        <f t="shared" si="2"/>
        <v>99.66937180643221</v>
      </c>
      <c r="I27" t="s">
        <v>130</v>
      </c>
      <c r="J27" s="24">
        <f>CORREL(C3:C27,B3:B27)</f>
        <v>0.81382527154017947</v>
      </c>
      <c r="L27" s="4">
        <f t="shared" si="0"/>
        <v>37175000</v>
      </c>
    </row>
    <row r="28" spans="1:12" x14ac:dyDescent="0.25">
      <c r="B28" t="s">
        <v>126</v>
      </c>
      <c r="C28" t="s">
        <v>127</v>
      </c>
      <c r="L28" s="4" t="s">
        <v>131</v>
      </c>
    </row>
    <row r="29" spans="1:12" x14ac:dyDescent="0.25">
      <c r="K29" t="s">
        <v>128</v>
      </c>
      <c r="L29" s="24">
        <f>CORREL(L3:L27,C3:C27)</f>
        <v>0.81382527154017936</v>
      </c>
    </row>
    <row r="65" spans="2:2" x14ac:dyDescent="0.25">
      <c r="B65">
        <v>6</v>
      </c>
    </row>
    <row r="66" spans="2:2" x14ac:dyDescent="0.25">
      <c r="B66">
        <v>5</v>
      </c>
    </row>
    <row r="67" spans="2:2" x14ac:dyDescent="0.25">
      <c r="B67">
        <v>4</v>
      </c>
    </row>
    <row r="68" spans="2:2" x14ac:dyDescent="0.25">
      <c r="B68">
        <v>3</v>
      </c>
    </row>
    <row r="69" spans="2:2" x14ac:dyDescent="0.25">
      <c r="B69">
        <v>2</v>
      </c>
    </row>
    <row r="70" spans="2:2" x14ac:dyDescent="0.25">
      <c r="B70">
        <v>1</v>
      </c>
    </row>
  </sheetData>
  <mergeCells count="5">
    <mergeCell ref="G1:G3"/>
    <mergeCell ref="D1:E1"/>
    <mergeCell ref="H7:I7"/>
    <mergeCell ref="M6:Q6"/>
    <mergeCell ref="M5:Q5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80FE6-997D-43D4-9998-5C57C33AED57}">
  <dimension ref="A2:F29"/>
  <sheetViews>
    <sheetView zoomScale="120" zoomScaleNormal="120" workbookViewId="0">
      <selection activeCell="F22" sqref="F22:P24"/>
    </sheetView>
  </sheetViews>
  <sheetFormatPr defaultRowHeight="15" x14ac:dyDescent="0.25"/>
  <cols>
    <col min="1" max="1" width="11.42578125" bestFit="1" customWidth="1"/>
    <col min="3" max="3" width="18" bestFit="1" customWidth="1"/>
    <col min="4" max="4" width="18" customWidth="1"/>
    <col min="5" max="5" width="14.42578125" bestFit="1" customWidth="1"/>
    <col min="6" max="6" width="11.7109375" customWidth="1"/>
  </cols>
  <sheetData>
    <row r="2" spans="1:6" x14ac:dyDescent="0.25">
      <c r="C2" t="s">
        <v>34</v>
      </c>
      <c r="D2" t="str">
        <f>C2</f>
        <v>Fraser Valley</v>
      </c>
      <c r="E2" t="s">
        <v>0</v>
      </c>
      <c r="F2" t="str">
        <f>E2</f>
        <v>Vancouver</v>
      </c>
    </row>
    <row r="3" spans="1:6" x14ac:dyDescent="0.25">
      <c r="C3" t="s">
        <v>88</v>
      </c>
      <c r="D3" t="s">
        <v>213</v>
      </c>
      <c r="E3" s="15" t="s">
        <v>89</v>
      </c>
      <c r="F3" t="s">
        <v>213</v>
      </c>
    </row>
    <row r="4" spans="1:6" x14ac:dyDescent="0.25">
      <c r="A4" t="s">
        <v>214</v>
      </c>
      <c r="B4" s="71">
        <v>43131</v>
      </c>
      <c r="C4" s="70">
        <v>370150</v>
      </c>
      <c r="D4" s="75">
        <v>100</v>
      </c>
      <c r="E4" s="72">
        <v>665400</v>
      </c>
      <c r="F4" s="74">
        <v>100</v>
      </c>
    </row>
    <row r="5" spans="1:6" x14ac:dyDescent="0.25">
      <c r="B5" s="71">
        <v>43159</v>
      </c>
      <c r="C5" s="70">
        <v>385000</v>
      </c>
      <c r="D5" s="74">
        <f>(C5/$C$4)*$D$4</f>
        <v>104.01188707280834</v>
      </c>
      <c r="E5" s="73">
        <v>682800</v>
      </c>
      <c r="F5" s="74">
        <f>(E5/$E$4)*$F$4</f>
        <v>102.61496844003605</v>
      </c>
    </row>
    <row r="6" spans="1:6" x14ac:dyDescent="0.25">
      <c r="B6" s="71">
        <v>43190</v>
      </c>
      <c r="C6" s="70">
        <v>390000</v>
      </c>
      <c r="D6" s="74">
        <f t="shared" ref="D6:D28" si="0">(C6/$C$4)*$D$4</f>
        <v>105.3626908010266</v>
      </c>
      <c r="E6" s="73">
        <v>693500</v>
      </c>
      <c r="F6" s="74">
        <f t="shared" ref="F6:F28" si="1">(E6/$E$4)*$F$4</f>
        <v>104.22302374511571</v>
      </c>
    </row>
    <row r="7" spans="1:6" x14ac:dyDescent="0.25">
      <c r="B7" s="71">
        <v>43220</v>
      </c>
      <c r="C7" s="70">
        <v>399844</v>
      </c>
      <c r="D7" s="74">
        <f t="shared" si="0"/>
        <v>108.02215318114278</v>
      </c>
      <c r="E7" s="73">
        <v>701000</v>
      </c>
      <c r="F7" s="74">
        <f t="shared" si="1"/>
        <v>105.35016531409678</v>
      </c>
    </row>
    <row r="8" spans="1:6" x14ac:dyDescent="0.25">
      <c r="B8" s="71">
        <v>43251</v>
      </c>
      <c r="C8" s="70">
        <v>400000</v>
      </c>
      <c r="D8" s="74">
        <f t="shared" si="0"/>
        <v>108.06429825746319</v>
      </c>
      <c r="E8" s="73">
        <v>701700</v>
      </c>
      <c r="F8" s="74">
        <f t="shared" si="1"/>
        <v>105.45536519386836</v>
      </c>
    </row>
    <row r="9" spans="1:6" x14ac:dyDescent="0.25">
      <c r="B9" s="71">
        <v>43281</v>
      </c>
      <c r="C9" s="70">
        <v>395000</v>
      </c>
      <c r="D9" s="74">
        <f t="shared" si="0"/>
        <v>106.7134945292449</v>
      </c>
      <c r="E9" s="73">
        <v>704200</v>
      </c>
      <c r="F9" s="74">
        <f t="shared" si="1"/>
        <v>105.83107905019537</v>
      </c>
    </row>
    <row r="10" spans="1:6" x14ac:dyDescent="0.25">
      <c r="B10" s="71">
        <v>43312</v>
      </c>
      <c r="C10" s="70">
        <v>385000</v>
      </c>
      <c r="D10" s="74">
        <f t="shared" si="0"/>
        <v>104.01188707280834</v>
      </c>
      <c r="E10" s="73">
        <v>700500</v>
      </c>
      <c r="F10" s="74">
        <f t="shared" si="1"/>
        <v>105.27502254283138</v>
      </c>
    </row>
    <row r="11" spans="1:6" x14ac:dyDescent="0.25">
      <c r="B11" s="1">
        <v>43343</v>
      </c>
      <c r="C11" s="4">
        <v>390000</v>
      </c>
      <c r="D11" s="74">
        <f t="shared" si="0"/>
        <v>105.3626908010266</v>
      </c>
      <c r="E11" s="15">
        <v>695500</v>
      </c>
      <c r="F11" s="74">
        <f t="shared" si="1"/>
        <v>104.52359483017734</v>
      </c>
    </row>
    <row r="12" spans="1:6" x14ac:dyDescent="0.25">
      <c r="B12" s="1">
        <v>43373</v>
      </c>
      <c r="C12" s="4">
        <v>385000</v>
      </c>
      <c r="D12" s="74">
        <f t="shared" si="0"/>
        <v>104.01188707280834</v>
      </c>
      <c r="E12" s="15">
        <v>687300</v>
      </c>
      <c r="F12" s="74">
        <f t="shared" si="1"/>
        <v>103.29125338142471</v>
      </c>
    </row>
    <row r="13" spans="1:6" x14ac:dyDescent="0.25">
      <c r="B13" s="1">
        <v>43404</v>
      </c>
      <c r="C13" s="4">
        <v>380000</v>
      </c>
      <c r="D13" s="74">
        <f t="shared" si="0"/>
        <v>102.66108334459003</v>
      </c>
      <c r="E13" s="15">
        <v>683500</v>
      </c>
      <c r="F13" s="74">
        <f t="shared" si="1"/>
        <v>102.72016831980764</v>
      </c>
    </row>
    <row r="14" spans="1:6" x14ac:dyDescent="0.25">
      <c r="B14" s="1">
        <v>43434</v>
      </c>
      <c r="C14" s="4">
        <v>379500</v>
      </c>
      <c r="D14" s="74">
        <f t="shared" si="0"/>
        <v>102.52600297176819</v>
      </c>
      <c r="E14" s="15">
        <v>667800</v>
      </c>
      <c r="F14" s="74">
        <f t="shared" si="1"/>
        <v>100.36068530207393</v>
      </c>
    </row>
    <row r="15" spans="1:6" x14ac:dyDescent="0.25">
      <c r="B15" s="1">
        <v>43465</v>
      </c>
      <c r="C15" s="4">
        <v>360000</v>
      </c>
      <c r="D15" s="74">
        <f t="shared" si="0"/>
        <v>97.257868431716872</v>
      </c>
      <c r="E15" s="15">
        <v>664100</v>
      </c>
      <c r="F15" s="74">
        <f t="shared" si="1"/>
        <v>99.804628794709942</v>
      </c>
    </row>
    <row r="16" spans="1:6" x14ac:dyDescent="0.25">
      <c r="B16" s="1">
        <v>43496</v>
      </c>
      <c r="C16" s="4">
        <v>372000</v>
      </c>
      <c r="D16" s="74">
        <f t="shared" si="0"/>
        <v>100.49979737944076</v>
      </c>
      <c r="E16" s="15">
        <v>658600</v>
      </c>
      <c r="F16" s="74">
        <f t="shared" si="1"/>
        <v>98.978058310790502</v>
      </c>
    </row>
    <row r="17" spans="2:6" x14ac:dyDescent="0.25">
      <c r="B17" s="1">
        <v>43524</v>
      </c>
      <c r="C17" s="4">
        <v>380000</v>
      </c>
      <c r="D17" s="74">
        <f t="shared" si="0"/>
        <v>102.66108334459003</v>
      </c>
      <c r="E17" s="15">
        <v>660300</v>
      </c>
      <c r="F17" s="74">
        <f t="shared" si="1"/>
        <v>99.233543733092873</v>
      </c>
    </row>
    <row r="18" spans="2:6" x14ac:dyDescent="0.25">
      <c r="B18" s="1">
        <v>43555</v>
      </c>
      <c r="C18" s="4">
        <v>385000</v>
      </c>
      <c r="D18" s="74">
        <f t="shared" si="0"/>
        <v>104.01188707280834</v>
      </c>
      <c r="E18" s="15">
        <v>656900</v>
      </c>
      <c r="F18" s="74">
        <f t="shared" si="1"/>
        <v>98.722572888488131</v>
      </c>
    </row>
    <row r="19" spans="2:6" x14ac:dyDescent="0.25">
      <c r="B19" s="1">
        <v>43585</v>
      </c>
      <c r="C19" s="4">
        <v>365000</v>
      </c>
      <c r="D19" s="74">
        <f t="shared" si="0"/>
        <v>98.608672159935168</v>
      </c>
      <c r="E19" s="15">
        <v>656900</v>
      </c>
      <c r="F19" s="74">
        <f t="shared" si="1"/>
        <v>98.722572888488131</v>
      </c>
    </row>
    <row r="20" spans="2:6" x14ac:dyDescent="0.25">
      <c r="B20" s="1">
        <v>43616</v>
      </c>
      <c r="C20" s="4">
        <v>369500</v>
      </c>
      <c r="D20" s="74">
        <f t="shared" si="0"/>
        <v>99.824395515331616</v>
      </c>
      <c r="E20" s="15">
        <v>664200</v>
      </c>
      <c r="F20" s="74">
        <f t="shared" si="1"/>
        <v>99.819657348963034</v>
      </c>
    </row>
    <row r="21" spans="2:6" x14ac:dyDescent="0.25">
      <c r="B21" s="1">
        <v>43646</v>
      </c>
      <c r="C21" s="4">
        <v>380000</v>
      </c>
      <c r="D21" s="74">
        <f t="shared" si="0"/>
        <v>102.66108334459003</v>
      </c>
      <c r="E21" s="15">
        <v>654700</v>
      </c>
      <c r="F21" s="74">
        <f t="shared" si="1"/>
        <v>98.391944694920355</v>
      </c>
    </row>
    <row r="22" spans="2:6" x14ac:dyDescent="0.25">
      <c r="B22" s="1">
        <v>43677</v>
      </c>
      <c r="C22" s="4">
        <v>375000</v>
      </c>
      <c r="D22" s="74">
        <f t="shared" si="0"/>
        <v>101.31027961637173</v>
      </c>
      <c r="E22" s="15">
        <v>653200</v>
      </c>
      <c r="F22" s="74">
        <f t="shared" si="1"/>
        <v>98.16651638112414</v>
      </c>
    </row>
    <row r="23" spans="2:6" x14ac:dyDescent="0.25">
      <c r="B23" s="1">
        <v>43708</v>
      </c>
      <c r="C23" s="4">
        <v>362000</v>
      </c>
      <c r="D23" s="74">
        <f t="shared" si="0"/>
        <v>97.798189923004188</v>
      </c>
      <c r="E23" s="15">
        <v>654000</v>
      </c>
      <c r="F23" s="74">
        <f t="shared" si="1"/>
        <v>98.286744815148779</v>
      </c>
    </row>
    <row r="24" spans="2:6" x14ac:dyDescent="0.25">
      <c r="B24" s="1">
        <v>43738</v>
      </c>
      <c r="C24" s="4">
        <v>370000</v>
      </c>
      <c r="D24" s="74">
        <f t="shared" si="0"/>
        <v>99.959475888153449</v>
      </c>
      <c r="E24" s="15">
        <v>651500</v>
      </c>
      <c r="F24" s="74">
        <f t="shared" si="1"/>
        <v>97.911030958821769</v>
      </c>
    </row>
    <row r="25" spans="2:6" x14ac:dyDescent="0.25">
      <c r="B25" s="1">
        <v>43769</v>
      </c>
      <c r="C25" s="4">
        <v>366000</v>
      </c>
      <c r="D25" s="74">
        <f t="shared" si="0"/>
        <v>98.878832905578818</v>
      </c>
      <c r="E25" s="15">
        <v>652500</v>
      </c>
      <c r="F25" s="74">
        <f t="shared" si="1"/>
        <v>98.061316501352565</v>
      </c>
    </row>
    <row r="26" spans="2:6" x14ac:dyDescent="0.25">
      <c r="B26" s="1">
        <v>43799</v>
      </c>
      <c r="C26" s="4">
        <v>368000</v>
      </c>
      <c r="D26" s="74">
        <f t="shared" si="0"/>
        <v>99.419154396866134</v>
      </c>
      <c r="E26" s="15">
        <v>651500</v>
      </c>
      <c r="F26" s="74">
        <f t="shared" si="1"/>
        <v>97.911030958821769</v>
      </c>
    </row>
    <row r="27" spans="2:6" x14ac:dyDescent="0.25">
      <c r="B27" s="1">
        <v>43830</v>
      </c>
      <c r="C27" s="4">
        <v>380000</v>
      </c>
      <c r="D27" s="74">
        <f t="shared" si="0"/>
        <v>102.66108334459003</v>
      </c>
      <c r="E27" s="15">
        <v>656700</v>
      </c>
      <c r="F27" s="74">
        <f t="shared" si="1"/>
        <v>98.692515779981974</v>
      </c>
    </row>
    <row r="28" spans="2:6" x14ac:dyDescent="0.25">
      <c r="B28" s="1">
        <v>43861</v>
      </c>
      <c r="C28" s="4">
        <v>371750</v>
      </c>
      <c r="D28" s="74">
        <f t="shared" si="0"/>
        <v>100.43225719302986</v>
      </c>
      <c r="E28" s="15">
        <v>663200</v>
      </c>
      <c r="F28" s="74">
        <f t="shared" si="1"/>
        <v>99.66937180643221</v>
      </c>
    </row>
    <row r="29" spans="2:6" x14ac:dyDescent="0.25">
      <c r="C29" t="s">
        <v>117</v>
      </c>
      <c r="D29" s="74">
        <f>CORREL(C4:C28,E4:E28)</f>
        <v>0.81382527154017947</v>
      </c>
      <c r="F29" s="74"/>
    </row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1D6F7-1479-44EA-815F-BC64513A1D17}">
  <dimension ref="B1:G26"/>
  <sheetViews>
    <sheetView workbookViewId="0">
      <selection activeCell="F22" sqref="F22:P24"/>
    </sheetView>
  </sheetViews>
  <sheetFormatPr defaultRowHeight="15" x14ac:dyDescent="0.25"/>
  <cols>
    <col min="2" max="2" width="12" bestFit="1" customWidth="1"/>
  </cols>
  <sheetData>
    <row r="1" spans="2:7" x14ac:dyDescent="0.25">
      <c r="B1" s="182" t="s">
        <v>32</v>
      </c>
      <c r="C1" s="182"/>
    </row>
    <row r="2" spans="2:7" x14ac:dyDescent="0.25">
      <c r="B2" t="s">
        <v>9</v>
      </c>
      <c r="C2" t="s">
        <v>11</v>
      </c>
    </row>
    <row r="3" spans="2:7" x14ac:dyDescent="0.25">
      <c r="B3">
        <v>1.25</v>
      </c>
      <c r="C3">
        <v>131.69999999999999</v>
      </c>
      <c r="D3">
        <f>B3*100</f>
        <v>125</v>
      </c>
      <c r="F3" t="s">
        <v>118</v>
      </c>
      <c r="G3" s="76">
        <f>CORREL(B3:B26,C3:C26)</f>
        <v>0.72860925181430658</v>
      </c>
    </row>
    <row r="4" spans="2:7" x14ac:dyDescent="0.25">
      <c r="B4">
        <v>1.25</v>
      </c>
      <c r="C4">
        <v>132.5</v>
      </c>
      <c r="D4">
        <f t="shared" ref="D4:D26" si="0">B4*100</f>
        <v>125</v>
      </c>
      <c r="F4" t="s">
        <v>118</v>
      </c>
      <c r="G4">
        <v>-0.5</v>
      </c>
    </row>
    <row r="5" spans="2:7" x14ac:dyDescent="0.25">
      <c r="B5">
        <v>1.25</v>
      </c>
      <c r="C5">
        <v>132.9</v>
      </c>
      <c r="D5">
        <f t="shared" si="0"/>
        <v>125</v>
      </c>
      <c r="G5" s="76">
        <f>CORREL(C3:C26,D3:D26)</f>
        <v>0.72860925181430658</v>
      </c>
    </row>
    <row r="6" spans="2:7" x14ac:dyDescent="0.25">
      <c r="B6">
        <v>1.25</v>
      </c>
      <c r="C6">
        <v>133.30000000000001</v>
      </c>
      <c r="D6">
        <f t="shared" si="0"/>
        <v>125</v>
      </c>
    </row>
    <row r="7" spans="2:7" x14ac:dyDescent="0.25">
      <c r="B7">
        <v>1.25</v>
      </c>
      <c r="C7">
        <v>133.4</v>
      </c>
      <c r="D7">
        <f t="shared" si="0"/>
        <v>125</v>
      </c>
    </row>
    <row r="8" spans="2:7" x14ac:dyDescent="0.25">
      <c r="B8">
        <v>1.25</v>
      </c>
      <c r="C8">
        <v>133.6</v>
      </c>
      <c r="D8">
        <f t="shared" si="0"/>
        <v>125</v>
      </c>
    </row>
    <row r="9" spans="2:7" x14ac:dyDescent="0.25">
      <c r="B9">
        <v>1.5</v>
      </c>
      <c r="C9">
        <v>134.30000000000001</v>
      </c>
      <c r="D9">
        <f t="shared" si="0"/>
        <v>150</v>
      </c>
    </row>
    <row r="10" spans="2:7" x14ac:dyDescent="0.25">
      <c r="B10">
        <v>1.5</v>
      </c>
      <c r="C10">
        <v>134.19999999999999</v>
      </c>
      <c r="D10">
        <f t="shared" si="0"/>
        <v>150</v>
      </c>
    </row>
    <row r="11" spans="2:7" x14ac:dyDescent="0.25">
      <c r="B11">
        <v>1.5</v>
      </c>
      <c r="C11">
        <v>133.69999999999999</v>
      </c>
      <c r="D11">
        <f t="shared" si="0"/>
        <v>150</v>
      </c>
    </row>
    <row r="12" spans="2:7" x14ac:dyDescent="0.25">
      <c r="B12">
        <v>1.75</v>
      </c>
      <c r="C12">
        <v>134.1</v>
      </c>
      <c r="D12">
        <f t="shared" si="0"/>
        <v>175</v>
      </c>
    </row>
    <row r="13" spans="2:7" x14ac:dyDescent="0.25">
      <c r="B13">
        <v>1.75</v>
      </c>
      <c r="C13">
        <v>133.5</v>
      </c>
      <c r="D13">
        <f t="shared" si="0"/>
        <v>175</v>
      </c>
    </row>
    <row r="14" spans="2:7" x14ac:dyDescent="0.25">
      <c r="B14">
        <v>1.75</v>
      </c>
      <c r="C14">
        <v>133.4</v>
      </c>
      <c r="D14">
        <f t="shared" si="0"/>
        <v>175</v>
      </c>
    </row>
    <row r="15" spans="2:7" x14ac:dyDescent="0.25">
      <c r="B15">
        <v>1.75</v>
      </c>
      <c r="C15">
        <v>133.6</v>
      </c>
      <c r="D15">
        <f t="shared" si="0"/>
        <v>175</v>
      </c>
    </row>
    <row r="16" spans="2:7" x14ac:dyDescent="0.25">
      <c r="B16">
        <v>1.75</v>
      </c>
      <c r="C16">
        <v>134.5</v>
      </c>
      <c r="D16">
        <f t="shared" si="0"/>
        <v>175</v>
      </c>
    </row>
    <row r="17" spans="2:4" x14ac:dyDescent="0.25">
      <c r="B17">
        <v>1.75</v>
      </c>
      <c r="C17">
        <v>135.4</v>
      </c>
      <c r="D17">
        <f t="shared" si="0"/>
        <v>175</v>
      </c>
    </row>
    <row r="18" spans="2:4" x14ac:dyDescent="0.25">
      <c r="B18">
        <v>1.75</v>
      </c>
      <c r="C18" s="19">
        <v>136</v>
      </c>
      <c r="D18">
        <f t="shared" si="0"/>
        <v>175</v>
      </c>
    </row>
    <row r="19" spans="2:4" x14ac:dyDescent="0.25">
      <c r="B19">
        <v>1.75</v>
      </c>
      <c r="C19" s="19">
        <v>136.6</v>
      </c>
      <c r="D19">
        <f t="shared" si="0"/>
        <v>175</v>
      </c>
    </row>
    <row r="20" spans="2:4" x14ac:dyDescent="0.25">
      <c r="B20">
        <v>1.75</v>
      </c>
      <c r="C20" s="19">
        <v>136.30000000000001</v>
      </c>
      <c r="D20">
        <f t="shared" si="0"/>
        <v>175</v>
      </c>
    </row>
    <row r="21" spans="2:4" x14ac:dyDescent="0.25">
      <c r="B21">
        <v>1.75</v>
      </c>
      <c r="C21" s="19">
        <v>137</v>
      </c>
      <c r="D21">
        <f t="shared" si="0"/>
        <v>175</v>
      </c>
    </row>
    <row r="22" spans="2:4" x14ac:dyDescent="0.25">
      <c r="B22">
        <v>1.75</v>
      </c>
      <c r="C22" s="19">
        <v>136.80000000000001</v>
      </c>
      <c r="D22">
        <f t="shared" si="0"/>
        <v>175</v>
      </c>
    </row>
    <row r="23" spans="2:4" x14ac:dyDescent="0.25">
      <c r="B23">
        <v>1.75</v>
      </c>
      <c r="C23" s="19">
        <v>136.19999999999999</v>
      </c>
      <c r="D23">
        <f t="shared" si="0"/>
        <v>175</v>
      </c>
    </row>
    <row r="24" spans="2:4" x14ac:dyDescent="0.25">
      <c r="B24">
        <v>1.75</v>
      </c>
      <c r="C24" s="19">
        <v>136.6</v>
      </c>
      <c r="D24">
        <f t="shared" si="0"/>
        <v>175</v>
      </c>
    </row>
    <row r="25" spans="2:4" x14ac:dyDescent="0.25">
      <c r="B25">
        <v>1.75</v>
      </c>
      <c r="C25" s="19">
        <v>136.4</v>
      </c>
      <c r="D25">
        <f t="shared" si="0"/>
        <v>175</v>
      </c>
    </row>
    <row r="26" spans="2:4" x14ac:dyDescent="0.25">
      <c r="B26">
        <v>1.75</v>
      </c>
      <c r="C26" s="19">
        <v>136.4</v>
      </c>
      <c r="D26">
        <f t="shared" si="0"/>
        <v>175</v>
      </c>
    </row>
  </sheetData>
  <mergeCells count="1">
    <mergeCell ref="B1:C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DED19-4639-4529-9572-3035BA41037E}">
  <dimension ref="A1:AC33"/>
  <sheetViews>
    <sheetView zoomScale="130" zoomScaleNormal="130" workbookViewId="0">
      <selection activeCell="F22" sqref="F22:P24"/>
    </sheetView>
  </sheetViews>
  <sheetFormatPr defaultRowHeight="15" x14ac:dyDescent="0.25"/>
  <cols>
    <col min="2" max="2" width="18.42578125" bestFit="1" customWidth="1"/>
    <col min="3" max="4" width="18.42578125" customWidth="1"/>
    <col min="5" max="5" width="17.85546875" bestFit="1" customWidth="1"/>
    <col min="17" max="17" width="18.85546875" bestFit="1" customWidth="1"/>
    <col min="18" max="18" width="15.140625" customWidth="1"/>
    <col min="19" max="19" width="13.5703125" bestFit="1" customWidth="1"/>
    <col min="21" max="21" width="13" customWidth="1"/>
    <col min="22" max="22" width="15.5703125" customWidth="1"/>
  </cols>
  <sheetData>
    <row r="1" spans="1:26" x14ac:dyDescent="0.25">
      <c r="Q1" t="s">
        <v>180</v>
      </c>
      <c r="R1" s="182" t="s">
        <v>179</v>
      </c>
      <c r="S1" s="182"/>
    </row>
    <row r="2" spans="1:26" x14ac:dyDescent="0.25"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6" t="s">
        <v>135</v>
      </c>
      <c r="R2" s="56" t="s">
        <v>177</v>
      </c>
      <c r="S2" s="4" t="s">
        <v>178</v>
      </c>
      <c r="T2" s="4"/>
      <c r="U2" t="s">
        <v>140</v>
      </c>
      <c r="Y2" t="s">
        <v>182</v>
      </c>
    </row>
    <row r="3" spans="1:26" x14ac:dyDescent="0.25"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6" t="s">
        <v>187</v>
      </c>
      <c r="R3" s="56" t="s">
        <v>188</v>
      </c>
      <c r="S3" s="4" t="s">
        <v>189</v>
      </c>
      <c r="T3" s="4"/>
    </row>
    <row r="4" spans="1:26" ht="15.75" thickBot="1" x14ac:dyDescent="0.3">
      <c r="B4" s="51">
        <v>556127</v>
      </c>
      <c r="C4" s="51"/>
      <c r="D4" s="51"/>
      <c r="E4" s="51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t="s">
        <v>11</v>
      </c>
      <c r="R4" t="s">
        <v>12</v>
      </c>
      <c r="S4" s="4" t="s">
        <v>176</v>
      </c>
      <c r="T4" s="54" t="s">
        <v>32</v>
      </c>
      <c r="Y4" t="s">
        <v>183</v>
      </c>
      <c r="Z4">
        <v>0.28899999999999998</v>
      </c>
    </row>
    <row r="5" spans="1:26" x14ac:dyDescent="0.25">
      <c r="B5" s="185" t="s">
        <v>69</v>
      </c>
      <c r="C5" s="185"/>
      <c r="D5" s="185"/>
      <c r="E5" s="185"/>
      <c r="K5" s="184" t="s">
        <v>181</v>
      </c>
      <c r="L5" s="184"/>
      <c r="M5" s="184"/>
      <c r="N5" s="184"/>
      <c r="O5" s="184"/>
      <c r="P5" s="1">
        <v>43131</v>
      </c>
      <c r="Q5">
        <v>131.69999999999999</v>
      </c>
      <c r="R5">
        <v>5.9</v>
      </c>
      <c r="S5" s="2">
        <v>13122</v>
      </c>
      <c r="T5" s="55">
        <f>CORREL(Q5:Q28,R5:R28)</f>
        <v>-0.53760553052655169</v>
      </c>
      <c r="U5" s="39" t="s">
        <v>141</v>
      </c>
      <c r="V5" s="39"/>
    </row>
    <row r="6" spans="1:26" x14ac:dyDescent="0.25">
      <c r="B6" s="51" t="s">
        <v>6</v>
      </c>
      <c r="C6" s="51"/>
      <c r="D6" s="51"/>
      <c r="E6" s="51" t="s">
        <v>29</v>
      </c>
      <c r="K6" s="184"/>
      <c r="L6" s="184"/>
      <c r="M6" s="184"/>
      <c r="N6" s="184"/>
      <c r="O6" s="184"/>
      <c r="P6" s="1">
        <v>43159</v>
      </c>
      <c r="Q6">
        <v>132.5</v>
      </c>
      <c r="R6">
        <v>5.8</v>
      </c>
      <c r="S6" s="2">
        <v>14697</v>
      </c>
      <c r="U6" s="36" t="s">
        <v>142</v>
      </c>
      <c r="V6" s="36">
        <v>0.5826401722773582</v>
      </c>
    </row>
    <row r="7" spans="1:26" x14ac:dyDescent="0.25">
      <c r="B7" s="51" t="s">
        <v>6</v>
      </c>
      <c r="C7" s="51"/>
      <c r="D7" s="51"/>
      <c r="E7" s="51" t="s">
        <v>29</v>
      </c>
      <c r="K7" s="184"/>
      <c r="L7" s="184"/>
      <c r="M7" s="184"/>
      <c r="N7" s="184"/>
      <c r="O7" s="184"/>
      <c r="P7" s="1">
        <v>43190</v>
      </c>
      <c r="Q7">
        <v>132.9</v>
      </c>
      <c r="R7">
        <v>5.8</v>
      </c>
      <c r="S7" s="2">
        <v>14280</v>
      </c>
      <c r="U7" s="40" t="s">
        <v>143</v>
      </c>
      <c r="V7" s="40">
        <v>0.33946957035138969</v>
      </c>
      <c r="X7">
        <v>0.5</v>
      </c>
    </row>
    <row r="8" spans="1:26" x14ac:dyDescent="0.25">
      <c r="A8" s="1">
        <v>43131</v>
      </c>
      <c r="B8" s="25">
        <v>546463</v>
      </c>
      <c r="C8" s="186" t="s">
        <v>109</v>
      </c>
      <c r="D8" s="52"/>
      <c r="E8" s="25">
        <v>487500</v>
      </c>
      <c r="F8" s="4">
        <f>E8-B8</f>
        <v>-58963</v>
      </c>
      <c r="K8" s="184"/>
      <c r="L8" s="184"/>
      <c r="M8" s="184"/>
      <c r="N8" s="184"/>
      <c r="O8" s="184"/>
      <c r="P8" s="1">
        <v>43220</v>
      </c>
      <c r="Q8">
        <v>133.30000000000001</v>
      </c>
      <c r="R8">
        <v>5.8</v>
      </c>
      <c r="S8" s="2">
        <v>15962</v>
      </c>
      <c r="U8" s="40" t="s">
        <v>144</v>
      </c>
      <c r="V8" s="40">
        <v>0.27656191038485539</v>
      </c>
      <c r="X8">
        <v>0.01</v>
      </c>
    </row>
    <row r="9" spans="1:26" x14ac:dyDescent="0.25">
      <c r="A9" s="1">
        <v>43159</v>
      </c>
      <c r="B9" s="25">
        <v>534067</v>
      </c>
      <c r="C9" s="186"/>
      <c r="D9" s="52"/>
      <c r="E9" s="25">
        <v>493250</v>
      </c>
      <c r="F9" s="4">
        <f t="shared" ref="F9:F31" si="0">E9-B9</f>
        <v>-40817</v>
      </c>
      <c r="K9" s="184"/>
      <c r="L9" s="184"/>
      <c r="M9" s="184"/>
      <c r="N9" s="184"/>
      <c r="O9" s="184"/>
      <c r="P9" s="1">
        <v>43251</v>
      </c>
      <c r="Q9">
        <v>133.4</v>
      </c>
      <c r="R9">
        <v>5.8</v>
      </c>
      <c r="S9" s="2">
        <v>15985</v>
      </c>
      <c r="U9" s="36" t="s">
        <v>145</v>
      </c>
      <c r="V9" s="36">
        <v>1.3480328646710698</v>
      </c>
    </row>
    <row r="10" spans="1:26" ht="15.75" thickBot="1" x14ac:dyDescent="0.3">
      <c r="A10" s="1">
        <v>43190</v>
      </c>
      <c r="B10" s="25">
        <v>571678</v>
      </c>
      <c r="C10" s="25">
        <f>AVERAGE(B8:B10)</f>
        <v>550736</v>
      </c>
      <c r="D10" s="53">
        <f>B10/B4-1</f>
        <v>2.7963037219915554E-2</v>
      </c>
      <c r="E10" s="25">
        <v>545000</v>
      </c>
      <c r="F10" s="4">
        <f t="shared" si="0"/>
        <v>-26678</v>
      </c>
      <c r="K10" s="184"/>
      <c r="L10" s="184"/>
      <c r="M10" s="184"/>
      <c r="N10" s="184"/>
      <c r="O10" s="184"/>
      <c r="P10" s="1">
        <v>43281</v>
      </c>
      <c r="Q10">
        <v>133.6</v>
      </c>
      <c r="R10">
        <v>6</v>
      </c>
      <c r="S10" s="2">
        <v>20953</v>
      </c>
      <c r="U10" s="37" t="s">
        <v>146</v>
      </c>
      <c r="V10" s="37">
        <v>24</v>
      </c>
    </row>
    <row r="11" spans="1:26" x14ac:dyDescent="0.25">
      <c r="A11" s="1">
        <v>43220</v>
      </c>
      <c r="B11" s="25">
        <v>586947</v>
      </c>
      <c r="C11" s="186" t="s">
        <v>110</v>
      </c>
      <c r="D11" s="52"/>
      <c r="E11" s="25">
        <v>540000</v>
      </c>
      <c r="F11" s="4">
        <f t="shared" si="0"/>
        <v>-46947</v>
      </c>
      <c r="P11" s="1">
        <v>43312</v>
      </c>
      <c r="Q11">
        <v>134.30000000000001</v>
      </c>
      <c r="R11">
        <v>5.8</v>
      </c>
      <c r="S11" s="2">
        <v>16774</v>
      </c>
    </row>
    <row r="12" spans="1:26" ht="15.75" thickBot="1" x14ac:dyDescent="0.3">
      <c r="A12" s="1">
        <v>43251</v>
      </c>
      <c r="B12" s="25">
        <v>582738</v>
      </c>
      <c r="C12" s="186"/>
      <c r="D12" s="52"/>
      <c r="E12" s="25">
        <v>525000</v>
      </c>
      <c r="F12" s="4">
        <f t="shared" si="0"/>
        <v>-57738</v>
      </c>
      <c r="I12" s="59" t="s">
        <v>138</v>
      </c>
      <c r="J12" s="58" t="s">
        <v>175</v>
      </c>
      <c r="K12" s="58"/>
      <c r="L12" s="58"/>
      <c r="M12" s="58"/>
      <c r="N12" s="58"/>
      <c r="O12" s="58"/>
      <c r="P12" s="1">
        <v>43343</v>
      </c>
      <c r="Q12">
        <v>134.19999999999999</v>
      </c>
      <c r="R12">
        <v>6</v>
      </c>
      <c r="S12" s="2">
        <v>15666</v>
      </c>
      <c r="U12" t="s">
        <v>147</v>
      </c>
    </row>
    <row r="13" spans="1:26" x14ac:dyDescent="0.25">
      <c r="A13" s="1">
        <v>43281</v>
      </c>
      <c r="B13" s="25">
        <v>604168</v>
      </c>
      <c r="C13" s="25">
        <f>AVERAGE(B11:B13)</f>
        <v>591284.33333333337</v>
      </c>
      <c r="D13" s="53">
        <f>B13/B10-1</f>
        <v>5.6832692529710682E-2</v>
      </c>
      <c r="E13" s="25">
        <v>546500</v>
      </c>
      <c r="F13" s="4">
        <f t="shared" si="0"/>
        <v>-57668</v>
      </c>
      <c r="I13" s="60" t="s">
        <v>173</v>
      </c>
      <c r="J13" s="58" t="s">
        <v>174</v>
      </c>
      <c r="K13" s="58"/>
      <c r="L13" s="58"/>
      <c r="M13" s="58"/>
      <c r="N13" s="58"/>
      <c r="O13" s="58"/>
      <c r="P13" s="1">
        <v>43373</v>
      </c>
      <c r="Q13">
        <v>133.69999999999999</v>
      </c>
      <c r="R13">
        <v>5.9</v>
      </c>
      <c r="S13" s="2">
        <v>16735</v>
      </c>
      <c r="U13" s="38"/>
      <c r="V13" s="38" t="s">
        <v>152</v>
      </c>
      <c r="W13" s="38" t="s">
        <v>153</v>
      </c>
      <c r="X13" s="38" t="s">
        <v>154</v>
      </c>
      <c r="Y13" s="38" t="s">
        <v>155</v>
      </c>
      <c r="Z13" s="38" t="s">
        <v>156</v>
      </c>
    </row>
    <row r="14" spans="1:26" x14ac:dyDescent="0.25">
      <c r="A14" s="1">
        <v>43312</v>
      </c>
      <c r="B14" s="25">
        <v>641006</v>
      </c>
      <c r="C14" s="186" t="s">
        <v>111</v>
      </c>
      <c r="D14" s="52"/>
      <c r="E14" s="25">
        <v>534000</v>
      </c>
      <c r="F14" s="4">
        <f t="shared" si="0"/>
        <v>-107006</v>
      </c>
      <c r="I14" t="s">
        <v>139</v>
      </c>
      <c r="P14" s="1">
        <v>43404</v>
      </c>
      <c r="Q14">
        <v>134.1</v>
      </c>
      <c r="R14">
        <v>5.8</v>
      </c>
      <c r="S14" s="2">
        <v>17179</v>
      </c>
      <c r="U14" s="36" t="s">
        <v>148</v>
      </c>
      <c r="V14" s="36">
        <v>2</v>
      </c>
      <c r="W14" s="36">
        <v>19.612288644434315</v>
      </c>
      <c r="X14" s="36">
        <v>9.8061443222171576</v>
      </c>
      <c r="Y14" s="36">
        <v>5.396315337941056</v>
      </c>
      <c r="Z14" s="36">
        <v>1.2849159256706185E-2</v>
      </c>
    </row>
    <row r="15" spans="1:26" x14ac:dyDescent="0.25">
      <c r="A15" s="1">
        <v>43343</v>
      </c>
      <c r="B15" s="25">
        <v>568210</v>
      </c>
      <c r="C15" s="186"/>
      <c r="D15" s="52"/>
      <c r="E15" s="25">
        <v>525000</v>
      </c>
      <c r="F15" s="4">
        <f t="shared" si="0"/>
        <v>-43210</v>
      </c>
      <c r="P15" s="1">
        <v>43434</v>
      </c>
      <c r="Q15">
        <v>133.5</v>
      </c>
      <c r="R15">
        <v>5.6</v>
      </c>
      <c r="S15" s="2">
        <v>18346</v>
      </c>
      <c r="U15" s="36" t="s">
        <v>149</v>
      </c>
      <c r="V15" s="36">
        <v>21</v>
      </c>
      <c r="W15" s="36">
        <v>38.161044688899104</v>
      </c>
      <c r="X15" s="36">
        <v>1.8171926042332907</v>
      </c>
      <c r="Y15" s="36"/>
      <c r="Z15" s="36"/>
    </row>
    <row r="16" spans="1:26" ht="15.75" thickBot="1" x14ac:dyDescent="0.3">
      <c r="A16" s="1">
        <v>43373</v>
      </c>
      <c r="B16" s="25">
        <v>581818</v>
      </c>
      <c r="C16" s="25">
        <f>AVERAGE(B14:B16)</f>
        <v>597011.33333333337</v>
      </c>
      <c r="D16" s="53">
        <f>B16/B13-1</f>
        <v>-3.6993021808503612E-2</v>
      </c>
      <c r="E16" s="25">
        <v>537750</v>
      </c>
      <c r="F16" s="4">
        <f t="shared" si="0"/>
        <v>-44068</v>
      </c>
      <c r="P16" s="1">
        <v>43465</v>
      </c>
      <c r="Q16">
        <v>133.4</v>
      </c>
      <c r="R16">
        <v>5.6</v>
      </c>
      <c r="S16" s="2">
        <v>16954</v>
      </c>
      <c r="U16" s="37" t="s">
        <v>150</v>
      </c>
      <c r="V16" s="37">
        <v>23</v>
      </c>
      <c r="W16" s="37">
        <v>57.773333333333419</v>
      </c>
      <c r="X16" s="37"/>
      <c r="Y16" s="37"/>
      <c r="Z16" s="37"/>
    </row>
    <row r="17" spans="1:29" ht="15.75" thickBot="1" x14ac:dyDescent="0.3">
      <c r="A17" s="1">
        <v>43404</v>
      </c>
      <c r="B17" s="25">
        <v>541549</v>
      </c>
      <c r="C17" s="25"/>
      <c r="D17" s="25"/>
      <c r="E17" s="25">
        <v>500000</v>
      </c>
      <c r="F17" s="4">
        <f t="shared" si="0"/>
        <v>-41549</v>
      </c>
      <c r="P17" s="1">
        <v>43496</v>
      </c>
      <c r="Q17">
        <v>133.6</v>
      </c>
      <c r="R17">
        <v>5.8</v>
      </c>
      <c r="S17" s="2">
        <v>12457</v>
      </c>
    </row>
    <row r="18" spans="1:29" x14ac:dyDescent="0.25">
      <c r="A18" s="1">
        <v>43434</v>
      </c>
      <c r="B18" s="25">
        <v>528044</v>
      </c>
      <c r="C18" s="25"/>
      <c r="D18" s="25"/>
      <c r="E18" s="25">
        <v>520000</v>
      </c>
      <c r="F18" s="4">
        <f t="shared" si="0"/>
        <v>-8044</v>
      </c>
      <c r="P18" s="1">
        <v>43524</v>
      </c>
      <c r="Q18">
        <v>134.5</v>
      </c>
      <c r="R18">
        <v>5.8</v>
      </c>
      <c r="S18" s="2">
        <v>10265</v>
      </c>
      <c r="U18" s="57"/>
      <c r="V18" s="57" t="s">
        <v>157</v>
      </c>
      <c r="W18" s="38" t="s">
        <v>145</v>
      </c>
      <c r="X18" s="65" t="s">
        <v>158</v>
      </c>
      <c r="Y18" s="38" t="s">
        <v>159</v>
      </c>
      <c r="Z18" s="38" t="s">
        <v>160</v>
      </c>
      <c r="AA18" s="38" t="s">
        <v>161</v>
      </c>
      <c r="AB18" s="38" t="s">
        <v>162</v>
      </c>
      <c r="AC18" s="38" t="s">
        <v>163</v>
      </c>
    </row>
    <row r="19" spans="1:29" ht="15.75" thickBot="1" x14ac:dyDescent="0.3">
      <c r="A19" s="1">
        <v>43465</v>
      </c>
      <c r="B19" s="25">
        <v>532755</v>
      </c>
      <c r="C19" s="25"/>
      <c r="D19" s="25"/>
      <c r="E19" s="25">
        <v>516950</v>
      </c>
      <c r="F19" s="4">
        <f t="shared" si="0"/>
        <v>-15805</v>
      </c>
      <c r="P19" s="1">
        <v>43555</v>
      </c>
      <c r="Q19">
        <v>135.4</v>
      </c>
      <c r="R19">
        <v>5.8</v>
      </c>
      <c r="S19" s="2">
        <v>12853</v>
      </c>
      <c r="U19" s="40" t="s">
        <v>151</v>
      </c>
      <c r="V19" s="40">
        <v>159.4927468124763</v>
      </c>
      <c r="W19" s="36">
        <v>11.595082691818632</v>
      </c>
      <c r="X19" s="63">
        <v>13.755205637732338</v>
      </c>
      <c r="Y19" s="36">
        <v>5.6491074634857651E-12</v>
      </c>
      <c r="Z19" s="36">
        <v>135.37945231580798</v>
      </c>
      <c r="AA19" s="36">
        <v>183.60604130914462</v>
      </c>
      <c r="AB19" s="36">
        <v>135.37945231580798</v>
      </c>
      <c r="AC19" s="36">
        <v>183.60604130914462</v>
      </c>
    </row>
    <row r="20" spans="1:29" ht="15.75" thickBot="1" x14ac:dyDescent="0.3">
      <c r="A20" s="1">
        <v>43496</v>
      </c>
      <c r="B20" s="25">
        <v>512407</v>
      </c>
      <c r="C20" s="25"/>
      <c r="D20" s="25"/>
      <c r="E20" s="25">
        <v>496000</v>
      </c>
      <c r="F20" s="4">
        <f t="shared" si="0"/>
        <v>-16407</v>
      </c>
      <c r="P20" s="1">
        <v>43585</v>
      </c>
      <c r="Q20" s="19">
        <v>136</v>
      </c>
      <c r="R20">
        <v>5.7</v>
      </c>
      <c r="S20" s="2">
        <v>18166</v>
      </c>
      <c r="T20" t="s">
        <v>185</v>
      </c>
      <c r="U20" s="66" t="str">
        <f>R4</f>
        <v>Unemployment</v>
      </c>
      <c r="V20" s="67">
        <v>-4.7340255276500889</v>
      </c>
      <c r="W20" s="67">
        <v>1.8950324276497823</v>
      </c>
      <c r="X20" s="68">
        <v>-2.4981237569223147</v>
      </c>
      <c r="Y20" s="36">
        <v>2.0862648643144546E-2</v>
      </c>
      <c r="Z20" s="36">
        <v>-8.6749612003984815</v>
      </c>
      <c r="AA20" s="36">
        <v>-0.79308985490169626</v>
      </c>
      <c r="AB20" s="36">
        <v>-8.6749612003984815</v>
      </c>
      <c r="AC20" s="36">
        <v>-0.79308985490169626</v>
      </c>
    </row>
    <row r="21" spans="1:29" ht="15.75" thickBot="1" x14ac:dyDescent="0.3">
      <c r="A21" s="1">
        <v>43524</v>
      </c>
      <c r="B21" s="25">
        <v>512665</v>
      </c>
      <c r="C21" s="25"/>
      <c r="D21" s="25"/>
      <c r="E21" s="25">
        <v>463195</v>
      </c>
      <c r="F21" s="4">
        <f t="shared" si="0"/>
        <v>-49470</v>
      </c>
      <c r="P21" s="1">
        <v>43616</v>
      </c>
      <c r="Q21" s="19">
        <v>136.6</v>
      </c>
      <c r="R21">
        <v>5.4</v>
      </c>
      <c r="S21" s="2">
        <v>16409</v>
      </c>
      <c r="T21" t="s">
        <v>184</v>
      </c>
      <c r="U21" s="61" t="str">
        <f>S4</f>
        <v>Housing starts</v>
      </c>
      <c r="V21" s="41">
        <v>1.4476215161832715E-4</v>
      </c>
      <c r="W21" s="37">
        <v>1.1430409710096505E-4</v>
      </c>
      <c r="X21" s="64">
        <v>1.2664651162106502</v>
      </c>
      <c r="Y21" s="37">
        <v>0.2192146705066681</v>
      </c>
      <c r="Z21" s="37">
        <v>-9.2946231221936835E-5</v>
      </c>
      <c r="AA21" s="37">
        <v>3.8247053445859114E-4</v>
      </c>
      <c r="AB21" s="37">
        <v>-9.2946231221936835E-5</v>
      </c>
      <c r="AC21" s="37">
        <v>3.8247053445859114E-4</v>
      </c>
    </row>
    <row r="22" spans="1:29" x14ac:dyDescent="0.25">
      <c r="A22" s="1">
        <v>43555</v>
      </c>
      <c r="B22" s="25">
        <v>539565</v>
      </c>
      <c r="C22" s="25"/>
      <c r="D22" s="25"/>
      <c r="E22" s="25">
        <v>500000</v>
      </c>
      <c r="F22" s="4">
        <f t="shared" si="0"/>
        <v>-39565</v>
      </c>
      <c r="P22" s="1">
        <v>43646</v>
      </c>
      <c r="Q22" s="19">
        <v>136.30000000000001</v>
      </c>
      <c r="R22">
        <v>5.5</v>
      </c>
      <c r="S22" s="2">
        <v>21548</v>
      </c>
    </row>
    <row r="23" spans="1:29" x14ac:dyDescent="0.25">
      <c r="A23" s="1">
        <v>43585</v>
      </c>
      <c r="B23" s="25">
        <v>573955</v>
      </c>
      <c r="C23" s="25"/>
      <c r="D23" s="25"/>
      <c r="E23" s="25">
        <v>537750</v>
      </c>
      <c r="F23" s="4">
        <f t="shared" si="0"/>
        <v>-36205</v>
      </c>
      <c r="P23" s="1">
        <v>43677</v>
      </c>
      <c r="Q23" s="19">
        <v>137</v>
      </c>
      <c r="R23">
        <v>5.7</v>
      </c>
      <c r="S23" s="2">
        <v>18073</v>
      </c>
    </row>
    <row r="24" spans="1:29" x14ac:dyDescent="0.25">
      <c r="A24" s="1">
        <v>43616</v>
      </c>
      <c r="B24" s="25">
        <v>573926</v>
      </c>
      <c r="C24" s="25"/>
      <c r="D24" s="25"/>
      <c r="E24" s="25">
        <v>537000</v>
      </c>
      <c r="F24" s="4">
        <f t="shared" si="0"/>
        <v>-36926</v>
      </c>
      <c r="P24" s="1">
        <v>43708</v>
      </c>
      <c r="Q24" s="19">
        <v>136.80000000000001</v>
      </c>
      <c r="R24">
        <v>5.7</v>
      </c>
      <c r="S24" s="2">
        <v>17713</v>
      </c>
      <c r="U24" t="s">
        <v>193</v>
      </c>
    </row>
    <row r="25" spans="1:29" x14ac:dyDescent="0.25">
      <c r="A25" s="1">
        <v>43646</v>
      </c>
      <c r="B25" s="25">
        <v>571864</v>
      </c>
      <c r="C25" s="25"/>
      <c r="D25" s="25"/>
      <c r="E25" s="25">
        <v>526000</v>
      </c>
      <c r="F25" s="4">
        <f t="shared" si="0"/>
        <v>-45864</v>
      </c>
      <c r="P25" s="1">
        <v>43738</v>
      </c>
      <c r="Q25" s="19">
        <v>136.19999999999999</v>
      </c>
      <c r="R25">
        <v>5.5</v>
      </c>
      <c r="S25" s="2">
        <v>19139</v>
      </c>
      <c r="U25">
        <v>1</v>
      </c>
      <c r="V25" t="s">
        <v>194</v>
      </c>
      <c r="W25">
        <f>X20</f>
        <v>-2.4981237569223147</v>
      </c>
      <c r="X25">
        <f>2.49</f>
        <v>2.4900000000000002</v>
      </c>
    </row>
    <row r="26" spans="1:29" x14ac:dyDescent="0.25">
      <c r="A26" s="1">
        <v>43677</v>
      </c>
      <c r="B26" s="25">
        <v>559366</v>
      </c>
      <c r="C26" s="25"/>
      <c r="D26" s="25"/>
      <c r="E26" s="25">
        <v>519900</v>
      </c>
      <c r="F26" s="4">
        <f t="shared" si="0"/>
        <v>-39466</v>
      </c>
      <c r="P26" s="1">
        <v>43769</v>
      </c>
      <c r="Q26" s="19">
        <v>136.6</v>
      </c>
      <c r="R26">
        <v>5.6</v>
      </c>
      <c r="S26" s="2">
        <v>17060</v>
      </c>
      <c r="U26">
        <v>2</v>
      </c>
      <c r="V26" t="s">
        <v>195</v>
      </c>
    </row>
    <row r="27" spans="1:29" x14ac:dyDescent="0.25">
      <c r="A27" s="1">
        <v>43708</v>
      </c>
      <c r="B27" s="25">
        <v>560980</v>
      </c>
      <c r="C27" s="25"/>
      <c r="D27" s="25"/>
      <c r="E27" s="25">
        <v>519000</v>
      </c>
      <c r="F27" s="4">
        <f t="shared" si="0"/>
        <v>-41980</v>
      </c>
      <c r="P27" s="1">
        <v>43799</v>
      </c>
      <c r="Q27" s="19">
        <v>136.4</v>
      </c>
      <c r="R27">
        <v>5.9</v>
      </c>
      <c r="S27" s="2">
        <v>17108</v>
      </c>
      <c r="U27">
        <v>3</v>
      </c>
      <c r="V27" s="183" t="s">
        <v>196</v>
      </c>
      <c r="W27" s="183"/>
      <c r="X27" s="183"/>
    </row>
    <row r="28" spans="1:29" x14ac:dyDescent="0.25">
      <c r="A28" s="1">
        <v>43738</v>
      </c>
      <c r="B28" s="4">
        <v>566090</v>
      </c>
      <c r="C28" s="4"/>
      <c r="D28" s="4"/>
      <c r="E28" s="4">
        <v>521750</v>
      </c>
      <c r="F28" s="4">
        <f t="shared" si="0"/>
        <v>-44340</v>
      </c>
      <c r="P28" s="1">
        <v>43830</v>
      </c>
      <c r="Q28" s="19">
        <v>136.4</v>
      </c>
      <c r="R28">
        <v>5.6</v>
      </c>
      <c r="S28" s="2">
        <v>15772</v>
      </c>
      <c r="V28" s="183"/>
      <c r="W28" s="183"/>
      <c r="X28" s="183"/>
    </row>
    <row r="29" spans="1:29" x14ac:dyDescent="0.25">
      <c r="A29" s="1">
        <v>43769</v>
      </c>
      <c r="B29" s="4">
        <v>548137</v>
      </c>
      <c r="C29" s="4"/>
      <c r="D29" s="4"/>
      <c r="E29" s="4">
        <v>502000</v>
      </c>
      <c r="F29" s="4">
        <f t="shared" si="0"/>
        <v>-46137</v>
      </c>
      <c r="V29" s="183"/>
      <c r="W29" s="183"/>
      <c r="X29" s="183"/>
    </row>
    <row r="30" spans="1:29" ht="15" customHeight="1" x14ac:dyDescent="0.25">
      <c r="A30" s="1">
        <v>43799</v>
      </c>
      <c r="B30" s="4">
        <v>615471</v>
      </c>
      <c r="C30" s="4"/>
      <c r="D30" s="4"/>
      <c r="E30" s="4">
        <v>538500</v>
      </c>
      <c r="F30" s="4">
        <f t="shared" si="0"/>
        <v>-76971</v>
      </c>
      <c r="U30">
        <v>4</v>
      </c>
      <c r="V30" s="183" t="s">
        <v>197</v>
      </c>
      <c r="W30" s="183"/>
      <c r="X30" s="183"/>
    </row>
    <row r="31" spans="1:29" x14ac:dyDescent="0.25">
      <c r="A31" s="1">
        <v>43830</v>
      </c>
      <c r="B31" s="4">
        <v>556127</v>
      </c>
      <c r="C31" s="4"/>
      <c r="D31" s="4"/>
      <c r="E31" s="4">
        <v>502500</v>
      </c>
      <c r="F31" s="4">
        <f t="shared" si="0"/>
        <v>-53627</v>
      </c>
      <c r="V31" s="183"/>
      <c r="W31" s="183"/>
      <c r="X31" s="183"/>
    </row>
    <row r="32" spans="1:29" x14ac:dyDescent="0.25">
      <c r="A32" s="1">
        <v>43861</v>
      </c>
      <c r="V32" s="183"/>
      <c r="W32" s="183"/>
      <c r="X32" s="183"/>
    </row>
    <row r="33" spans="22:24" x14ac:dyDescent="0.25">
      <c r="V33" s="183"/>
      <c r="W33" s="183"/>
      <c r="X33" s="183"/>
    </row>
  </sheetData>
  <mergeCells count="8">
    <mergeCell ref="R1:S1"/>
    <mergeCell ref="V27:X29"/>
    <mergeCell ref="V30:X33"/>
    <mergeCell ref="K5:O10"/>
    <mergeCell ref="B5:E5"/>
    <mergeCell ref="C8:C9"/>
    <mergeCell ref="C11:C12"/>
    <mergeCell ref="C14:C15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0E276572F4F74C9FAD2CB8B68F8A88" ma:contentTypeVersion="12" ma:contentTypeDescription="Create a new document." ma:contentTypeScope="" ma:versionID="cc74bb4d9b51d34fbcdf87a9a4e733af">
  <xsd:schema xmlns:xsd="http://www.w3.org/2001/XMLSchema" xmlns:xs="http://www.w3.org/2001/XMLSchema" xmlns:p="http://schemas.microsoft.com/office/2006/metadata/properties" xmlns:ns3="d78caf83-252a-4e1d-b051-54b8bd2266a0" xmlns:ns4="ab9a8f67-d2a0-4d15-bb6c-c85c7583b914" targetNamespace="http://schemas.microsoft.com/office/2006/metadata/properties" ma:root="true" ma:fieldsID="bc2a67297b876bf15d615d2086fe3769" ns3:_="" ns4:_="">
    <xsd:import namespace="d78caf83-252a-4e1d-b051-54b8bd2266a0"/>
    <xsd:import namespace="ab9a8f67-d2a0-4d15-bb6c-c85c7583b91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8caf83-252a-4e1d-b051-54b8bd2266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9a8f67-d2a0-4d15-bb6c-c85c7583b91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56E67C-A22D-48D3-B6E9-7E2421FF50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CB2C1C-CC84-4F06-BCC4-CAF9415E481B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ab9a8f67-d2a0-4d15-bb6c-c85c7583b914"/>
    <ds:schemaRef ds:uri="d78caf83-252a-4e1d-b051-54b8bd2266a0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8B73A40-C9BF-40D1-9DD9-CB8A6F4DF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8caf83-252a-4e1d-b051-54b8bd2266a0"/>
    <ds:schemaRef ds:uri="ab9a8f67-d2a0-4d15-bb6c-c85c7583b9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Sheet2</vt:lpstr>
      <vt:lpstr>Real Estate</vt:lpstr>
      <vt:lpstr>Sheet3</vt:lpstr>
      <vt:lpstr>Macro Economic </vt:lpstr>
      <vt:lpstr>Sheet5</vt:lpstr>
      <vt:lpstr>Data</vt:lpstr>
      <vt:lpstr>Index</vt:lpstr>
      <vt:lpstr>Sheet8</vt:lpstr>
      <vt:lpstr>Sheet6</vt:lpstr>
      <vt:lpstr>Regression</vt:lpstr>
      <vt:lpstr>Week 3 assignment</vt:lpstr>
      <vt:lpstr>Sheet1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2022-05-10T04:40:17Z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0x010100B30E276572F4F74C9FAD2CB8B68F8A88</vt:lpwstr>
  </property>
</Properties>
</file>